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765" tabRatio="876"/>
  </bookViews>
  <sheets>
    <sheet name="衔接资金12月计划12.30" sheetId="36" r:id="rId1"/>
  </sheets>
  <definedNames>
    <definedName name="_xlnm._FilterDatabase" localSheetId="0" hidden="1">衔接资金12月计划12.30!$A$5:$XER$83</definedName>
    <definedName name="_xlnm.Print_Area" localSheetId="0">衔接资金12月计划12.30!$A$1:$AC$83</definedName>
    <definedName name="_xlnm.Print_Titles" localSheetId="0">衔接资金12月计划12.30!$1:$4</definedName>
  </definedNames>
  <calcPr calcId="124519"/>
</workbook>
</file>

<file path=xl/calcChain.xml><?xml version="1.0" encoding="utf-8"?>
<calcChain xmlns="http://schemas.openxmlformats.org/spreadsheetml/2006/main">
  <c r="Y83" i="36"/>
  <c r="AA83" s="1"/>
  <c r="X83"/>
  <c r="G83"/>
  <c r="AA82"/>
  <c r="Z82"/>
  <c r="Y82"/>
  <c r="G82"/>
  <c r="Y81"/>
  <c r="H81"/>
  <c r="G81"/>
  <c r="Z81" s="1"/>
  <c r="Y80"/>
  <c r="H80"/>
  <c r="G80"/>
  <c r="Z80" s="1"/>
  <c r="Y79"/>
  <c r="X79"/>
  <c r="G79"/>
  <c r="Z78"/>
  <c r="Y78"/>
  <c r="AA78" s="1"/>
  <c r="X78"/>
  <c r="G78"/>
  <c r="Y77"/>
  <c r="Z77" s="1"/>
  <c r="G77"/>
  <c r="Y76"/>
  <c r="AA76" s="1"/>
  <c r="X76"/>
  <c r="G76"/>
  <c r="Z76" s="1"/>
  <c r="Z75"/>
  <c r="Y75"/>
  <c r="G75"/>
  <c r="AA75" s="1"/>
  <c r="Z74"/>
  <c r="Y74"/>
  <c r="M74"/>
  <c r="G74"/>
  <c r="AA74" s="1"/>
  <c r="Y73"/>
  <c r="M73"/>
  <c r="G73"/>
  <c r="AA73" s="1"/>
  <c r="Z72"/>
  <c r="Y72"/>
  <c r="AA72" s="1"/>
  <c r="M72"/>
  <c r="G72"/>
  <c r="Y71"/>
  <c r="AA71" s="1"/>
  <c r="V71"/>
  <c r="M71"/>
  <c r="G71"/>
  <c r="Z71" s="1"/>
  <c r="Y70"/>
  <c r="M70"/>
  <c r="G70"/>
  <c r="AA70" s="1"/>
  <c r="Z69"/>
  <c r="Y69"/>
  <c r="AA69" s="1"/>
  <c r="M69"/>
  <c r="G69"/>
  <c r="Y68"/>
  <c r="AA68" s="1"/>
  <c r="M68"/>
  <c r="G68"/>
  <c r="Z68" s="1"/>
  <c r="Z67"/>
  <c r="Y67"/>
  <c r="M67"/>
  <c r="G67"/>
  <c r="AA67" s="1"/>
  <c r="Y66"/>
  <c r="M66"/>
  <c r="G66"/>
  <c r="AA66" s="1"/>
  <c r="Z65"/>
  <c r="Y65"/>
  <c r="AA65" s="1"/>
  <c r="M65"/>
  <c r="G65"/>
  <c r="Y64"/>
  <c r="AA64" s="1"/>
  <c r="M64"/>
  <c r="G64"/>
  <c r="Z64" s="1"/>
  <c r="Z63"/>
  <c r="Y63"/>
  <c r="M63"/>
  <c r="G63"/>
  <c r="AA63" s="1"/>
  <c r="X62"/>
  <c r="W62"/>
  <c r="V62"/>
  <c r="U62"/>
  <c r="Y62" s="1"/>
  <c r="AA62" s="1"/>
  <c r="G62"/>
  <c r="AA61"/>
  <c r="Y61"/>
  <c r="G61"/>
  <c r="Z61" s="1"/>
  <c r="AA60"/>
  <c r="Y60"/>
  <c r="G60"/>
  <c r="Z60" s="1"/>
  <c r="AA59"/>
  <c r="Y59"/>
  <c r="V59"/>
  <c r="U59"/>
  <c r="T59"/>
  <c r="P59"/>
  <c r="G59"/>
  <c r="Z59" s="1"/>
  <c r="Y58"/>
  <c r="AA58" s="1"/>
  <c r="U58"/>
  <c r="R58"/>
  <c r="M58"/>
  <c r="G58"/>
  <c r="Z58" s="1"/>
  <c r="Z57"/>
  <c r="Y57"/>
  <c r="AA57" s="1"/>
  <c r="X57"/>
  <c r="U57"/>
  <c r="R57"/>
  <c r="G57"/>
  <c r="Y56"/>
  <c r="X56"/>
  <c r="S56"/>
  <c r="R56"/>
  <c r="M56"/>
  <c r="H56"/>
  <c r="G56"/>
  <c r="Z56" s="1"/>
  <c r="Y55"/>
  <c r="Z55" s="1"/>
  <c r="S55"/>
  <c r="R55"/>
  <c r="M55"/>
  <c r="H55"/>
  <c r="G55"/>
  <c r="Y54"/>
  <c r="U54"/>
  <c r="R54"/>
  <c r="G54"/>
  <c r="Z53"/>
  <c r="Y53"/>
  <c r="AA53" s="1"/>
  <c r="U53"/>
  <c r="G53"/>
  <c r="Y52"/>
  <c r="AA52" s="1"/>
  <c r="R52"/>
  <c r="G52"/>
  <c r="Z52" s="1"/>
  <c r="Z51"/>
  <c r="Y51"/>
  <c r="R51"/>
  <c r="G51"/>
  <c r="AA51" s="1"/>
  <c r="Y50"/>
  <c r="R50"/>
  <c r="G50"/>
  <c r="AA50" s="1"/>
  <c r="Z49"/>
  <c r="Y49"/>
  <c r="AA49" s="1"/>
  <c r="X49"/>
  <c r="U49"/>
  <c r="T49"/>
  <c r="S49"/>
  <c r="R49"/>
  <c r="M49"/>
  <c r="H49"/>
  <c r="G49"/>
  <c r="AA48"/>
  <c r="Y48"/>
  <c r="X48"/>
  <c r="R48"/>
  <c r="H48"/>
  <c r="G48"/>
  <c r="Z48" s="1"/>
  <c r="Y47"/>
  <c r="X47"/>
  <c r="V47"/>
  <c r="U47"/>
  <c r="T47"/>
  <c r="I47"/>
  <c r="H47"/>
  <c r="G47"/>
  <c r="Z47" s="1"/>
  <c r="F47"/>
  <c r="Y46"/>
  <c r="U46"/>
  <c r="R46"/>
  <c r="I46"/>
  <c r="H46"/>
  <c r="G46"/>
  <c r="Y45"/>
  <c r="AA45" s="1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Y44"/>
  <c r="U44"/>
  <c r="R44"/>
  <c r="G44"/>
  <c r="Z44" s="1"/>
  <c r="Y43"/>
  <c r="AA43" s="1"/>
  <c r="U43"/>
  <c r="S43"/>
  <c r="G43"/>
  <c r="Z43" s="1"/>
  <c r="Y42"/>
  <c r="X42"/>
  <c r="R42"/>
  <c r="G42"/>
  <c r="Z42" s="1"/>
  <c r="Z41"/>
  <c r="Y41"/>
  <c r="AA41" s="1"/>
  <c r="U41"/>
  <c r="G41"/>
  <c r="Y40"/>
  <c r="AA40" s="1"/>
  <c r="R40"/>
  <c r="G40"/>
  <c r="Z40" s="1"/>
  <c r="Z39"/>
  <c r="Y39"/>
  <c r="R39"/>
  <c r="G39"/>
  <c r="AA39" s="1"/>
  <c r="X38"/>
  <c r="W38"/>
  <c r="V38"/>
  <c r="U38"/>
  <c r="T38"/>
  <c r="S38"/>
  <c r="R38"/>
  <c r="Q38"/>
  <c r="P38"/>
  <c r="O38"/>
  <c r="N38"/>
  <c r="M38"/>
  <c r="L38"/>
  <c r="K38"/>
  <c r="J38"/>
  <c r="I38"/>
  <c r="G38" s="1"/>
  <c r="Y37"/>
  <c r="AA37" s="1"/>
  <c r="X37"/>
  <c r="V37"/>
  <c r="G37"/>
  <c r="Z37" s="1"/>
  <c r="Z36"/>
  <c r="Y36"/>
  <c r="G36"/>
  <c r="AA36" s="1"/>
  <c r="Y35"/>
  <c r="AA35" s="1"/>
  <c r="U35"/>
  <c r="S35"/>
  <c r="R35"/>
  <c r="G35"/>
  <c r="Y34"/>
  <c r="AA34" s="1"/>
  <c r="R34"/>
  <c r="G34"/>
  <c r="Y33"/>
  <c r="U33"/>
  <c r="R33"/>
  <c r="G33"/>
  <c r="Z33" s="1"/>
  <c r="Y32"/>
  <c r="AA32" s="1"/>
  <c r="G32"/>
  <c r="Z32" s="1"/>
  <c r="Y31"/>
  <c r="AA31" s="1"/>
  <c r="G31"/>
  <c r="Z31" s="1"/>
  <c r="Y30"/>
  <c r="AA30" s="1"/>
  <c r="R30"/>
  <c r="G30"/>
  <c r="Y29"/>
  <c r="AA29" s="1"/>
  <c r="R29"/>
  <c r="G29"/>
  <c r="Z29" s="1"/>
  <c r="Z28"/>
  <c r="Y28"/>
  <c r="G28"/>
  <c r="AA28" s="1"/>
  <c r="X27"/>
  <c r="W27"/>
  <c r="V27"/>
  <c r="U27"/>
  <c r="T27"/>
  <c r="S27"/>
  <c r="R27"/>
  <c r="Q27"/>
  <c r="P27"/>
  <c r="O27"/>
  <c r="N27"/>
  <c r="Y27" s="1"/>
  <c r="M27"/>
  <c r="L27"/>
  <c r="K27"/>
  <c r="J27"/>
  <c r="I27"/>
  <c r="H27"/>
  <c r="G27" s="1"/>
  <c r="Y26"/>
  <c r="H26"/>
  <c r="G26"/>
  <c r="Z26" s="1"/>
  <c r="Z25"/>
  <c r="G25"/>
  <c r="AA25" s="1"/>
  <c r="Y24"/>
  <c r="AA24" s="1"/>
  <c r="O24"/>
  <c r="G24"/>
  <c r="Z24" s="1"/>
  <c r="Y23"/>
  <c r="R23"/>
  <c r="O23"/>
  <c r="K23"/>
  <c r="G23"/>
  <c r="Z23" s="1"/>
  <c r="Y22"/>
  <c r="AA22" s="1"/>
  <c r="G22"/>
  <c r="Z22" s="1"/>
  <c r="Y21"/>
  <c r="H21"/>
  <c r="G21"/>
  <c r="Z21" s="1"/>
  <c r="Z20"/>
  <c r="Y20"/>
  <c r="R20"/>
  <c r="P20"/>
  <c r="O20"/>
  <c r="G20"/>
  <c r="AA20" s="1"/>
  <c r="Y19"/>
  <c r="AA19" s="1"/>
  <c r="H19"/>
  <c r="G19"/>
  <c r="Z19" s="1"/>
  <c r="Y18"/>
  <c r="AA18" s="1"/>
  <c r="S18"/>
  <c r="H18"/>
  <c r="G18"/>
  <c r="Z18" s="1"/>
  <c r="Y17"/>
  <c r="S17"/>
  <c r="H17"/>
  <c r="G17"/>
  <c r="AA17" s="1"/>
  <c r="Z16"/>
  <c r="Y16"/>
  <c r="AA16" s="1"/>
  <c r="H16"/>
  <c r="G16"/>
  <c r="Y15"/>
  <c r="H15"/>
  <c r="G15"/>
  <c r="Z15" s="1"/>
  <c r="Y14"/>
  <c r="S14"/>
  <c r="H14"/>
  <c r="G14"/>
  <c r="Z14" s="1"/>
  <c r="Y13"/>
  <c r="H13"/>
  <c r="G13"/>
  <c r="Z13" s="1"/>
  <c r="AA12"/>
  <c r="Y12"/>
  <c r="S12"/>
  <c r="H12"/>
  <c r="G12"/>
  <c r="Z12" s="1"/>
  <c r="Y11"/>
  <c r="AA11" s="1"/>
  <c r="X11"/>
  <c r="S11"/>
  <c r="H11"/>
  <c r="G11"/>
  <c r="Z11" s="1"/>
  <c r="Y10"/>
  <c r="X10"/>
  <c r="H10"/>
  <c r="G10"/>
  <c r="AA10" s="1"/>
  <c r="Y9"/>
  <c r="AA9" s="1"/>
  <c r="S9"/>
  <c r="H9"/>
  <c r="G9"/>
  <c r="Z9" s="1"/>
  <c r="Y8"/>
  <c r="X8"/>
  <c r="H8"/>
  <c r="G8"/>
  <c r="AA8" s="1"/>
  <c r="X7"/>
  <c r="W7"/>
  <c r="V7"/>
  <c r="V5" s="1"/>
  <c r="U7"/>
  <c r="U5" s="1"/>
  <c r="T7"/>
  <c r="S7"/>
  <c r="S5" s="1"/>
  <c r="R7"/>
  <c r="R5" s="1"/>
  <c r="Q7"/>
  <c r="Q5" s="1"/>
  <c r="P7"/>
  <c r="O7"/>
  <c r="N7"/>
  <c r="M7"/>
  <c r="M5" s="1"/>
  <c r="L7"/>
  <c r="K7"/>
  <c r="J7"/>
  <c r="J5" s="1"/>
  <c r="I7"/>
  <c r="I5" s="1"/>
  <c r="H7"/>
  <c r="G7" s="1"/>
  <c r="Y6"/>
  <c r="U6"/>
  <c r="G6"/>
  <c r="X5"/>
  <c r="W5"/>
  <c r="T5"/>
  <c r="P5"/>
  <c r="O5"/>
  <c r="L5"/>
  <c r="K5"/>
  <c r="H5"/>
  <c r="O2" s="1"/>
  <c r="F5"/>
  <c r="Z6" l="1"/>
  <c r="AA13"/>
  <c r="AA21"/>
  <c r="Z34"/>
  <c r="Z35"/>
  <c r="Z45"/>
  <c r="Z46"/>
  <c r="Z54"/>
  <c r="AA55"/>
  <c r="AA79"/>
  <c r="Z83"/>
  <c r="AA23"/>
  <c r="Z30"/>
  <c r="Y7"/>
  <c r="Y5" s="1"/>
  <c r="AA56"/>
  <c r="Z27"/>
  <c r="Z62"/>
  <c r="G5"/>
  <c r="AA27"/>
  <c r="Z38"/>
  <c r="N5"/>
  <c r="Z8"/>
  <c r="Z10"/>
  <c r="Z17"/>
  <c r="AA26"/>
  <c r="Z50"/>
  <c r="Z66"/>
  <c r="Z70"/>
  <c r="Z73"/>
  <c r="Z79"/>
  <c r="AA6"/>
  <c r="AA15"/>
  <c r="Y38"/>
  <c r="AA38" s="1"/>
  <c r="AA46"/>
  <c r="AA77"/>
  <c r="AA81"/>
  <c r="AA14"/>
  <c r="AA33"/>
  <c r="AA42"/>
  <c r="AA44"/>
  <c r="AA47"/>
  <c r="AA54"/>
  <c r="AA80"/>
  <c r="Z7" l="1"/>
  <c r="AA7"/>
  <c r="AA5"/>
  <c r="AA2"/>
  <c r="Z5"/>
  <c r="Z2"/>
</calcChain>
</file>

<file path=xl/sharedStrings.xml><?xml version="1.0" encoding="utf-8"?>
<sst xmlns="http://schemas.openxmlformats.org/spreadsheetml/2006/main" count="238" uniqueCount="160">
  <si>
    <t>伽师县2022年巩固拓展脱贫攻坚成果同乡村振兴有效衔接项目台账</t>
  </si>
  <si>
    <t>序号</t>
  </si>
  <si>
    <t>项目库编号</t>
  </si>
  <si>
    <t>项目名称</t>
  </si>
  <si>
    <t>项目类型</t>
  </si>
  <si>
    <t>建设地点及内容</t>
  </si>
  <si>
    <t>本年度
计划投资
(万元)</t>
  </si>
  <si>
    <t>整合资金安排情况（万元）</t>
  </si>
  <si>
    <t>10月支出计划任务
（万元）</t>
  </si>
  <si>
    <t>1月支出</t>
  </si>
  <si>
    <t>3月支出</t>
  </si>
  <si>
    <t>4月支出</t>
  </si>
  <si>
    <t>5月支出</t>
  </si>
  <si>
    <t>6月已支出</t>
  </si>
  <si>
    <t>7月支出</t>
  </si>
  <si>
    <t>8月支出</t>
  </si>
  <si>
    <t>9月支出</t>
  </si>
  <si>
    <t>10月支出</t>
  </si>
  <si>
    <t>11月支出</t>
  </si>
  <si>
    <t>12月支出</t>
  </si>
  <si>
    <t>累计支出</t>
  </si>
  <si>
    <t>余额</t>
  </si>
  <si>
    <t>资金支出率
（%）</t>
  </si>
  <si>
    <t>监管单位</t>
  </si>
  <si>
    <t>备注</t>
  </si>
  <si>
    <t>合计</t>
  </si>
  <si>
    <t>财政衔接推进乡村振兴补助资金</t>
  </si>
  <si>
    <t>其他涉农整合资金</t>
  </si>
  <si>
    <t>地方政府一般债券
资金</t>
  </si>
  <si>
    <t>地县资金</t>
  </si>
  <si>
    <t>其他资金</t>
  </si>
  <si>
    <t>合   计</t>
  </si>
  <si>
    <t>2022-js001</t>
  </si>
  <si>
    <t>伽师县新梅加工厂附属配套工程建设项目</t>
  </si>
  <si>
    <t>产业增收</t>
  </si>
  <si>
    <t>对江巴孜乡色日克托克拉克（3）村新梅加工厂房进行附属配套工程建设，总投资1700万元。
建设内容：污水处理设施占地面积3600平方米，锅炉房492平方米，地上配电室及发电机房110平方米，消防水池及蓄水池850立方米，道路硬化及场地面积10850平方米，并配备水电气等附属设备。资产归10个村，（英买里乡4个村：阿亚格英买里村（11）村、巴什兰干（13）村、克孜勒巴依拉克(15)村、拉依力克(20)村，江巴孜乡克其克布鲁胡其（24）村，米夏乡其拉克（13）村，夏普吐勒镇喀赞库勒（14）村，和夏阿瓦提镇墩吕克（17）村，克孜勒苏乡阿克艾日克（23)村，铁日木乡恰央恰克提（9）村），每年资产收益分红6%。</t>
  </si>
  <si>
    <t>供销社</t>
  </si>
  <si>
    <t>2022-js002</t>
  </si>
  <si>
    <t>伽师县2022年拱棚建设项目</t>
  </si>
  <si>
    <t>为大力发展设施农业，增强瓜菜供应能力，提高农民收入，建设连栋拱棚29座、规格:每栋11200平方米。补助标准：120万元/座，总投资3500万元。
英买里乡阿亚格英买里（11）村3座，江巴孜乡开旦木加依村（10）村2座，卧里托格拉克镇巴扎（28）村3座，克孜勒博依镇恰瓦拉（27）村3座，米夏乡其兰力克（8）村2座，夏普吐勒镇恰依拉（19）村3座，和夏阿瓦提镇欧吐拉巴格恰村（38）村3座，克孜勒苏乡古里巴什（18）村2座，古勒鲁克乡2座，玉代克力克乡乔拉克（10）村2座，铁日木乡阿亚格铁日木村（5）村2座，巴仁镇巴仁（1）村2座。</t>
  </si>
  <si>
    <t>农技推广中心</t>
  </si>
  <si>
    <t>英买里乡</t>
  </si>
  <si>
    <t>江巴孜乡</t>
  </si>
  <si>
    <t>卧里托格拉克镇</t>
  </si>
  <si>
    <t>克孜勒博依镇</t>
  </si>
  <si>
    <t>米夏乡</t>
  </si>
  <si>
    <t>夏普吐勒镇</t>
  </si>
  <si>
    <t>和夏阿瓦提镇</t>
  </si>
  <si>
    <t>克孜勒苏乡</t>
  </si>
  <si>
    <t>古勒鲁克乡</t>
  </si>
  <si>
    <t>玉代克力克乡</t>
  </si>
  <si>
    <t>铁日木乡</t>
  </si>
  <si>
    <t>巴仁镇</t>
  </si>
  <si>
    <t>2022-js006</t>
  </si>
  <si>
    <t>伽师县克孜勒博依镇生态综合整治工程（现代农业产业园）</t>
  </si>
  <si>
    <t>在克孜勒博依镇实施28924亩定植新梅杏李，28924亩土地平整及高效节水，完成3条田间渠17.63公里、水闸59座、15座沉砂池、田间道路31条66.88公里、排碱渠71.579公里、电路29.4公里等配套附属设施建设。总投资9300万元。</t>
  </si>
  <si>
    <t>自然资源局</t>
  </si>
  <si>
    <t>2022-js007</t>
  </si>
  <si>
    <t>伽师县林果防治药剂采购项目</t>
  </si>
  <si>
    <t xml:space="preserve">开展伽师县林果秋冬季防治工作，购置药剂：清园剂150吨，计900万元；树干涂白剂300吨，计490万元，合计为1390万元。                               </t>
  </si>
  <si>
    <t>2022-js008</t>
  </si>
  <si>
    <t>伽师县2022年林果接穗储备项目</t>
  </si>
  <si>
    <t>1、10个乡镇192个村共采集新梅（杏李）接穗168.22万根，开展伽师新梅（杏李）嫁接，确保伽师新梅（杏李）产业的良好发展。总资金45.26万元。
2、夏普吐勒镇巴依艾日克（13）村杏李采穗圃700亩，玉代克力克乡英艾日克（12）村石榴采穗圃100亩，开展林果嫁接。总规模800亩，投资40万元。</t>
  </si>
  <si>
    <t>2022-js010</t>
  </si>
  <si>
    <t>喀什地区现代农业（百万只良种肉羊）产业园-伽师县场扩建项目</t>
  </si>
  <si>
    <t>在喀什市阿克喀什乡墩艾日克（4）村占地面积约60000平方米，新建扩建规模化养殖车间6栋，隔离观察规模化养殖车间1栋，建设面积14100平方米，以及相关配套设施和设备等，投资1500万元。</t>
  </si>
  <si>
    <t>畜牧兽医局</t>
  </si>
  <si>
    <t>2022-js012</t>
  </si>
  <si>
    <t>伽师县畜禽饲草料加工厂建设项目</t>
  </si>
  <si>
    <t>江巴孜乡色日克托克拉克（3）村建设饲草料加工厂1座，包含厂房建设、库房建设、设备采购及附属设施配套等。延伸甜菜产业链，利用糖渣加工饲料。总投资5000万元，2022年投资930万元。</t>
  </si>
  <si>
    <t>2022-js013</t>
  </si>
  <si>
    <t>喀什地区肉牛产业园—伽师县场建设项目</t>
  </si>
  <si>
    <t>在疏勒县艾尔木东乡阿拉力（2）村，新建占地650亩饲养规模2万头牛的牛舍100000平方米，管理用房2200㎡，TMR中心青贮窖、饲草料棚以及附属设施建设，设备采购等。总投资：8000万元。</t>
  </si>
  <si>
    <t>伽师县一二三产业融合特色产业小镇建设（二期）</t>
  </si>
  <si>
    <t>在喀什市伯什克然木乡喀拉库木（18）村，建设一座集孵化、育雏、养殖、屠宰等黑鸡家禽养殖基地的基础设施建设，设备购置等，总投资2000万元。</t>
  </si>
  <si>
    <t>2022-js016</t>
  </si>
  <si>
    <t>伽师县特色产业配套基础设施建设项目（以工代赈）</t>
  </si>
  <si>
    <t>对7个乡镇8个村和一个文化旅游产业新建渠道25.035公里及配套建筑物；新建道路20.745公里；土地整治614亩，硬化道路20000平方米等。总体投资2783万元。
1、江巴孜乡托万尕勒（23）村、英买里乡阿亚克兰干（14村）防渗改建渠系7公里、道路1.5公里及配套建筑物，资金480万元。
2、卧里托格拉克镇帕尔其托格拉克（15）村计划修建防渗渠道4.78公里及配套建筑物，资金380万元。
3、米夏乡恰喀（2）村建设道路9.645公里，主要包括路基、路面桥涵及其附属设施建设，资金390万元。
4、夏普吐勒镇克其克阿克艾日克（21）村建设道路9.6公里，主要包括路基、路面桥涵及其附属设施建设，资金390万元。
5、和夏阿瓦提镇尤古买希勒克（30）村防渗改建渠系4.25公里及配套建筑物，资金283万元。
6、克孜勒苏乡古里巴什（18）村防渗改建渠系5.005公里及配套建筑物，资金300万元。
7、古勒鲁克乡阿克托卡依（20）村防渗改建渠系4公里及配套建筑物,土地整治614亩，资金280万元。
8、伽师县2022年文化旅游产业基础设施，旅游道路及场地硬化工程20000平方米，资金330万元。</t>
  </si>
  <si>
    <t>发改委</t>
  </si>
  <si>
    <t>交通局</t>
  </si>
  <si>
    <t>江巴孜乡（防渗渠）</t>
  </si>
  <si>
    <t>卧里托格拉克镇（防渗渠）</t>
  </si>
  <si>
    <t>米夏乡（道路）</t>
  </si>
  <si>
    <t>夏普吐勒镇（道路）</t>
  </si>
  <si>
    <t>和夏阿瓦提镇（防渗渠）</t>
  </si>
  <si>
    <t>克孜勒苏乡（防渗渠）</t>
  </si>
  <si>
    <t>古勒鲁克乡（防渗渠\土地整治）</t>
  </si>
  <si>
    <t>2022-js017</t>
  </si>
  <si>
    <t>伽师县小额贷款贴息项目</t>
  </si>
  <si>
    <t>全县小额信贷8494户脱贫户贴息，资金1000万元。</t>
  </si>
  <si>
    <t>财政局</t>
  </si>
  <si>
    <t>2022-js003</t>
  </si>
  <si>
    <t>伽师县现代设施新梅产业园建设项目</t>
  </si>
  <si>
    <t>农技中心</t>
  </si>
  <si>
    <t>2022-js020</t>
  </si>
  <si>
    <t>伽师县乡镇小微产业园建设项目</t>
  </si>
  <si>
    <t>在夏普吐勒镇巴扎（1）村、克孜勒苏乡央艾日克（12）村、古勒鲁克乡喀日木库木（11）村、玉代克力克乡巴扎（5）村新建以小微产业园厂房及水电路配套附属设施，总投资1336万元，资产归村集体所有，每年资产收益分红6%。
夏普吐勒镇巴扎（1）村乡镇小微产业园拟新建园区内上下水电、路等基础设施配套，预算160万元；
克孜勒苏乡央艾日克（12）村乡镇小微产业园拟新建园区内综合设备用房486平方米及室外附属等，预算398万元；
古勒鲁克乡喀日木库木（11）村乡镇小微产业园拟新建综合设备用房一座492.28平方米，配套建设室外附属设施，预算投资398万元；
玉代克力克乡巴扎（5）村乡镇小微产业园拟新建建材厂一座1000平方米，消防水池一座75平方米，并配套购置安装400kv变压器一个，预算投资380万元.</t>
  </si>
  <si>
    <t>商工局</t>
  </si>
  <si>
    <t>2022-js025</t>
  </si>
  <si>
    <t>伽师县2022年乡村道路日常养护项目</t>
  </si>
  <si>
    <t>就业增收</t>
  </si>
  <si>
    <t>12个乡镇1254名护路员公益性岗位进行工资补助，每人每月1000元，计划资金1504.8万元。</t>
  </si>
  <si>
    <t>2022-js019</t>
  </si>
  <si>
    <t>伽师县2022年乡村振兴就业创业基地建设项目</t>
  </si>
  <si>
    <t>在4个乡镇集中连片建设乡村振兴就业创业基地，配套相应附属设施。资产归村集体所有，每个乡村振兴就业创业基地解决每个村不低于5名已脱贫户就业，每个村补助资金100万，总资金4300万元。
1、克孜勒博依镇建设场地规划用地面积20962.76平方米、规划总建筑面积4477平方米，预算投资1200万元，资产归12个村：居维其（2）村、库木买里斯（3）村、英艾日克（8）村、巴格艾日克（9）村、曲勒库勒（13）村、坎迪尔勒克（19）村、色满（23）村、木努尔（25）村、恰瓦拉（27）村、铁热克博斯坦（28）村、阿容（29）村、博迪马勒（30）村。
2、克孜勒苏乡规划用地面积1411平方米（2.11亩），本次规划建筑面积1233平方米，预算投资400万元，资产归4个村：巴什栏杆（1）村、塔格艾日克（17）村、阿克艾日克（23）村、阿克托喀依（30）村。
3、古勒鲁克乡规划用地面积9237平方米（13.8亩），规划建筑面积4965平方米，预算投资1400万元，资产归14个村：巴什古勒鲁克（1）村、兰干（2）村、英巴格（5）村、阿克提坎（8）村、巴什阿勒克库勒(9）村，阿勒喀库勒（10）村、拜什塔木（12）村、科克塔勒（19）村、阿克托卡依（20）村、苏巴斯提（21）村、英买里（23）村、欧吐拉拜什塔木（24）村、阿亚格科克塔勒（25）、巴什阿恰勒（26）村、克孜力库木（27）村。
4、西克尔镇规划用地面积5131.4平方米（7.7亩），规划建筑面积3843平方米，预算投资1300万元，资产归13个村：原卧里托格拉克镇色日克托格拉克（6）村、托库勒（9）村、喀热古鲁克（10）村、夏普吐勒买里斯（12）村、苏坎阿斯特（13）村、托格拉（33）村、阔曲买贝希（34）村；原克孜勒苏乡多来提巴格（27）村、克日克塔木（29）村、古力巴格（31）村；原古勒鲁克乡喀让古鲁克（15）村、阿恰勒（17）村、库其木拜什（28）村。</t>
  </si>
  <si>
    <t>2022-js027</t>
  </si>
  <si>
    <t>伽师县2022年示范村建设项目</t>
  </si>
  <si>
    <t>乡村建设行动</t>
  </si>
  <si>
    <t>对19个示范村开展垃圾污水处理、道路建设、渠道防渗、公共厕所、电子商务服务站等项目建设，总投资11012.615万元。
1、英买里乡阿亚格英买里（11）村。
2、江巴孜乡克其克布鲁胡其（24）村。
3、卧里托格拉克镇销尔介乃克（18）村、拜什托普村（17）村。
4、克孜勒博依镇先拜巴扎（1）村、阿亚格乔拉克（17）村。
5、米夏乡江尕勒霍依拉（1）村、其拉克（13）村。
6、夏普吐勒镇巴扎(1)村、托什坎拉（17）村。
7、和夏阿瓦提镇托玛贝希（16）村、英艾日克（7）村。
8、克孜勒苏乡古里巴什（18）村、阿亚格勒格勒德玛（7）村。
9、古勒鲁克乡阿勒克库勒（10）村、喀日木库木（11）村。
10、玉代克力克乡巴扎（5）村。
11、铁日木乡阿亚格铁日木（5）村。
12、巴仁镇阿热买里（5）村。</t>
  </si>
  <si>
    <t>乡村振兴局</t>
  </si>
  <si>
    <t>上缴52.537136</t>
  </si>
  <si>
    <t>2022-js031</t>
  </si>
  <si>
    <t>伽师县英买里乡英买里村重点示范村建设项目</t>
  </si>
  <si>
    <t>在英买里乡英买里村建设污水主管网9公里、支管网5公里、污水提升泵站1座、天然气管道9.112公里、道路整治7.66公里、购置垃圾压缩车1辆、电动回收垃圾车4辆、垃圾处理中转站1座、就业小市场、渠道6.5公里、等基础设施、公共服务能力提升等，总投资2932.37万元，其中衔接资金1790.37万元。</t>
  </si>
  <si>
    <t>2022-js032</t>
  </si>
  <si>
    <t>伽师县铁日木乡幸福村重点示范村建设项目</t>
  </si>
  <si>
    <t>在铁日木乡幸福村乡建设污水主管网6.5公里、支管网8.3公里、污水提升泵站1座、天然气管道6.6公里、道路整治7.7公里、购置垃圾压缩车1辆、垃圾桶30个、就业小市场及服务中心等基础设施、公共服务能力提升等，总投资3600万元其中衔接资金1983.51万元。</t>
  </si>
  <si>
    <t>2022-js036</t>
  </si>
  <si>
    <t>伽师县“雨露计划”职业教育补助项目</t>
  </si>
  <si>
    <t>巩固三保障成果</t>
  </si>
  <si>
    <t>对疆内外在册就读中职、高职、技工学校伽师籍脱贫户学生家庭进行补助。补助人数7000人，每人补助3000元，总资金2100万元。</t>
  </si>
  <si>
    <t>教育局</t>
  </si>
  <si>
    <t>2022-js037</t>
  </si>
  <si>
    <t>伽师县2022年农村居民“煤改电”工程建设项目</t>
  </si>
  <si>
    <t>8个乡镇72个村4224户（脱贫户3128户，三类户监测户1096户）开展煤改电建设，解决脱贫户冬季采暖问题，每户补助900元/户，资金380.16万元。</t>
  </si>
  <si>
    <t>发改委、住建局</t>
  </si>
  <si>
    <t>2022-js015</t>
  </si>
  <si>
    <t>喀什地区一市四县屠宰分割加工体系建设项目-伽师县项目</t>
  </si>
  <si>
    <t>疏附县吾库萨克镇建设一座畜牧屠宰加工厂。建设内容屠宰间2592平方，并购置畜禽屠宰设备1套，建设厂区硬化8000平方及给排水、供电等附属设施，总投资1000万元。</t>
  </si>
  <si>
    <t>畜牧局</t>
  </si>
  <si>
    <t>2022-js026</t>
  </si>
  <si>
    <t>伽师县2022年过渡性公益岗位安置补助项目</t>
  </si>
  <si>
    <t>对伽师县12个乡镇320名过渡性脱贫户、监测户公益性岗位进行5个月安置补助资金，补助标准：1620元/人/月，总资金259.2万元。</t>
  </si>
  <si>
    <t>2022-js039</t>
  </si>
  <si>
    <t>伽师县畜禽养殖小区附属配套建设项目</t>
  </si>
  <si>
    <t>在和夏阿瓦提镇达西村为养殖小区配套道路、水、电等附属设施建设，总投资398.5万元。</t>
  </si>
  <si>
    <t>2022-js033</t>
  </si>
  <si>
    <t>伽师县夏普吐勒镇斗渠防渗改建项目</t>
  </si>
  <si>
    <t>夏普吐勒镇渠系防渗改建125km及配套建筑物，总投资5000万元。</t>
  </si>
  <si>
    <t>水利局</t>
  </si>
  <si>
    <t>2022-js022</t>
  </si>
  <si>
    <t>伽师瓜干加工厂附属配套项目</t>
  </si>
  <si>
    <t>在卧里托格拉克镇销尔介乃克（18）村伽师瓜加工厂区购置2000kw变压器1台，配电间54平方，100吨污水处理设备1台及设备间90平方，等基础设施，投资256万元。</t>
  </si>
  <si>
    <t>2022-js004</t>
  </si>
  <si>
    <t>伽师县铁日木乡斗渠防渗改造工程</t>
  </si>
  <si>
    <t>铁日木乡阿亚格兰干（10）村斗渠改造总长度为3.55km，配套渠系建筑物13座。流量0.8m³/s，总投资390万元。</t>
  </si>
  <si>
    <t>2022-js009</t>
  </si>
  <si>
    <t>伽师县英买里乡斗渠防渗改造工程</t>
  </si>
  <si>
    <t>英买里乡吐孜鲁克（9）村斗渠改造总长度为4.5km，配套渠系建筑物23座。流量1m³/s，总投资390万元。</t>
  </si>
  <si>
    <t>2022-js011</t>
  </si>
  <si>
    <t>伽师县和夏阿瓦提镇斗渠防渗改造工程</t>
  </si>
  <si>
    <t>和夏阿瓦提镇克亚格勒克（28）村斗渠改造总长度为4.2km，配套渠系建筑物6座。流量1m³/s，总投资390万元。</t>
  </si>
  <si>
    <t>2022-js029</t>
  </si>
  <si>
    <t>伽师县西克尔库勒镇、铁日木乡、江巴孜乡村组道路建设项目</t>
  </si>
  <si>
    <t>伽师县2022年西克尔库勒镇、铁日木乡、江巴孜乡村组道路建设项目：主要建设内容：路基、路面桥涵及附属设施，新建村组道路共5.7km，其中：新建西克尔库勒镇内部砂石道路3.4公里；新建铁日木乡阿亚格铁日木村沥青道路0.5公里；新建江巴孜乡阿亚格仓村砂石道路1.8公里。 路基宽度 7.0m/6.5m，路面宽6.5m/6m，路面结构为15cm沥青面层+15cm级配砂砾基层+35cm天然砂砾底基层 。总投资300万元。</t>
  </si>
  <si>
    <t>伽师县新梅冷链物流基地建设项目</t>
  </si>
  <si>
    <t>新建冷链仓储19281.10平方米；新梅配送中心、新梅之家等配套服务区18181平方米及附属配套设施建设，项目总投资23833万元，衔接资金配套1101.3984万元。</t>
  </si>
  <si>
    <t>管理费</t>
  </si>
  <si>
    <t>用于项目前期设计、评审、招标、监理以及验收等与项目管理相关支出。资金400万元。</t>
  </si>
  <si>
    <t>为大力发展设施农业，增强反季节市场供应能力，提高农民收入，在英买里乡英买里村，夏阿瓦提镇墩吕克（17）村、克亚克勒克（28）村，铁日木乡恰央恰克提（9）村、阿亚格兰干（10）村，建设温室大棚875座，规格;50m*9m,补助标准：20万元/座，总投资17500万元.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</si>
</sst>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d&quot;日&quot;;@"/>
    <numFmt numFmtId="177" formatCode="0.00_);[Red]\(0.00\)"/>
    <numFmt numFmtId="178" formatCode="0.00_ "/>
  </numFmts>
  <fonts count="16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28"/>
      <name val="方正小标宋简体"/>
      <family val="4"/>
      <charset val="134"/>
    </font>
    <font>
      <sz val="12"/>
      <name val="宋体"/>
      <family val="3"/>
      <charset val="134"/>
      <scheme val="minor"/>
    </font>
    <font>
      <sz val="12"/>
      <name val="方正黑体简体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7">
    <xf numFmtId="0" fontId="0" fillId="0" borderId="0">
      <alignment vertical="center"/>
    </xf>
    <xf numFmtId="0" fontId="9" fillId="0" borderId="7">
      <alignment vertical="top"/>
      <protection locked="0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/>
  </cellStyleXfs>
  <cellXfs count="61">
    <xf numFmtId="0" fontId="0" fillId="0" borderId="0" xfId="0">
      <alignment vertical="center"/>
    </xf>
    <xf numFmtId="10" fontId="1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177" fontId="3" fillId="0" borderId="0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/>
    </xf>
    <xf numFmtId="10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</xf>
    <xf numFmtId="31" fontId="3" fillId="0" borderId="0" xfId="0" applyNumberFormat="1" applyFont="1" applyFill="1" applyBorder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177" fontId="1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177" fontId="14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Fill="1">
      <alignment vertical="center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177" fontId="2" fillId="0" borderId="0" xfId="0" applyNumberFormat="1" applyFont="1" applyFill="1" applyAlignment="1" applyProtection="1">
      <alignment horizontal="center" vertical="center" wrapText="1"/>
    </xf>
    <xf numFmtId="10" fontId="2" fillId="0" borderId="0" xfId="0" applyNumberFormat="1" applyFont="1" applyFill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left" vertical="center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常规" xfId="0" builtinId="0"/>
    <cellStyle name="常规 10" xfId="8"/>
    <cellStyle name="常规 10 2" xfId="9"/>
    <cellStyle name="常规 105" xfId="10"/>
    <cellStyle name="常规 12" xfId="2"/>
    <cellStyle name="常规 14" xfId="11"/>
    <cellStyle name="常规 16" xfId="4"/>
    <cellStyle name="常规 18" xfId="12"/>
    <cellStyle name="常规 2" xfId="13"/>
    <cellStyle name="常规 2 2 2 10 2 2 2 2" xfId="3"/>
    <cellStyle name="常规 2 4" xfId="16"/>
    <cellStyle name="常规 28" xfId="14"/>
    <cellStyle name="常规 3" xfId="15"/>
    <cellStyle name="常规 43" xfId="5"/>
    <cellStyle name="常规 50" xfId="6"/>
    <cellStyle name="常规 55" xfId="7"/>
    <cellStyle name="汇总 18 2 2 2 2" xfId="1"/>
  </cellStyles>
  <dxfs count="0"/>
  <tableStyles count="0" defaultTableStyle="TableStyleMedium2" defaultPivotStyle="PivotStyleLight16"/>
  <colors>
    <mruColors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R83"/>
  <sheetViews>
    <sheetView tabSelected="1" zoomScaleSheetLayoutView="81" workbookViewId="0">
      <pane xSplit="4" ySplit="5" topLeftCell="E36" activePane="bottomRight" state="frozen"/>
      <selection pane="topRight"/>
      <selection pane="bottomLeft"/>
      <selection pane="bottomRight" activeCell="G37" sqref="G37"/>
    </sheetView>
  </sheetViews>
  <sheetFormatPr defaultColWidth="9" defaultRowHeight="13.5"/>
  <cols>
    <col min="1" max="1" width="4.875" style="26" customWidth="1"/>
    <col min="2" max="2" width="8.25" style="26" customWidth="1"/>
    <col min="3" max="3" width="21.375" style="35" customWidth="1"/>
    <col min="4" max="4" width="5.875" style="35" customWidth="1"/>
    <col min="5" max="5" width="38.75" style="36" customWidth="1"/>
    <col min="6" max="6" width="13.125" style="37" customWidth="1"/>
    <col min="7" max="7" width="13" style="37" customWidth="1"/>
    <col min="8" max="8" width="15" style="37" customWidth="1"/>
    <col min="9" max="9" width="11.125" style="37" customWidth="1"/>
    <col min="10" max="10" width="11.375" style="37" customWidth="1"/>
    <col min="11" max="11" width="12" style="37" customWidth="1"/>
    <col min="12" max="12" width="8.625" style="37" customWidth="1"/>
    <col min="13" max="23" width="14.125" style="37" hidden="1" customWidth="1"/>
    <col min="24" max="25" width="14.125" style="37" customWidth="1"/>
    <col min="26" max="26" width="14.125" style="35" customWidth="1"/>
    <col min="27" max="27" width="15" style="1" customWidth="1"/>
    <col min="28" max="28" width="13.375" style="26" customWidth="1"/>
    <col min="29" max="29" width="14.75" style="38" customWidth="1"/>
    <col min="30" max="16369" width="9" style="26"/>
    <col min="16370" max="16384" width="9" style="42"/>
  </cols>
  <sheetData>
    <row r="1" spans="1:16372" s="26" customFormat="1" ht="40.5" customHeight="1">
      <c r="A1" s="49" t="s">
        <v>0</v>
      </c>
      <c r="B1" s="49"/>
      <c r="C1" s="49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49"/>
      <c r="AA1" s="51"/>
      <c r="AB1" s="49"/>
      <c r="AC1" s="49"/>
    </row>
    <row r="2" spans="1:16372" s="27" customFormat="1" ht="20.100000000000001" customHeight="1">
      <c r="A2" s="52"/>
      <c r="B2" s="52"/>
      <c r="C2" s="52"/>
      <c r="D2" s="52"/>
      <c r="E2" s="2"/>
      <c r="F2" s="3"/>
      <c r="G2" s="4"/>
      <c r="H2" s="4"/>
      <c r="I2" s="4"/>
      <c r="J2" s="4"/>
      <c r="K2" s="4"/>
      <c r="L2" s="4"/>
      <c r="M2" s="4"/>
      <c r="N2" s="4"/>
      <c r="O2" s="4">
        <f>H5*0.3</f>
        <v>18711.539999999997</v>
      </c>
      <c r="P2" s="4"/>
      <c r="Q2" s="4"/>
      <c r="R2" s="18"/>
      <c r="S2" s="4"/>
      <c r="T2" s="4"/>
      <c r="U2" s="4"/>
      <c r="V2" s="4"/>
      <c r="W2" s="4"/>
      <c r="X2" s="4"/>
      <c r="Y2" s="4"/>
      <c r="Z2" s="2">
        <f>G5-Y5</f>
        <v>1635.3303790000209</v>
      </c>
      <c r="AA2" s="19">
        <f>Y5-200-29</f>
        <v>63131.139620999995</v>
      </c>
      <c r="AB2" s="20"/>
      <c r="AC2" s="21"/>
    </row>
    <row r="3" spans="1:16372" s="28" customFormat="1" ht="26.1" customHeight="1">
      <c r="A3" s="48" t="s">
        <v>1</v>
      </c>
      <c r="B3" s="56" t="s">
        <v>2</v>
      </c>
      <c r="C3" s="48" t="s">
        <v>3</v>
      </c>
      <c r="D3" s="48" t="s">
        <v>4</v>
      </c>
      <c r="E3" s="48" t="s">
        <v>5</v>
      </c>
      <c r="F3" s="58" t="s">
        <v>6</v>
      </c>
      <c r="G3" s="53" t="s">
        <v>7</v>
      </c>
      <c r="H3" s="54"/>
      <c r="I3" s="54"/>
      <c r="J3" s="54"/>
      <c r="K3" s="54"/>
      <c r="L3" s="55"/>
      <c r="M3" s="60" t="s">
        <v>8</v>
      </c>
      <c r="N3" s="43" t="s">
        <v>9</v>
      </c>
      <c r="O3" s="43" t="s">
        <v>10</v>
      </c>
      <c r="P3" s="43" t="s">
        <v>11</v>
      </c>
      <c r="Q3" s="43" t="s">
        <v>12</v>
      </c>
      <c r="R3" s="43" t="s">
        <v>13</v>
      </c>
      <c r="S3" s="43" t="s">
        <v>14</v>
      </c>
      <c r="T3" s="43" t="s">
        <v>15</v>
      </c>
      <c r="U3" s="43" t="s">
        <v>16</v>
      </c>
      <c r="V3" s="43" t="s">
        <v>17</v>
      </c>
      <c r="W3" s="43" t="s">
        <v>18</v>
      </c>
      <c r="X3" s="43" t="s">
        <v>19</v>
      </c>
      <c r="Y3" s="43" t="s">
        <v>20</v>
      </c>
      <c r="Z3" s="45" t="s">
        <v>21</v>
      </c>
      <c r="AA3" s="47" t="s">
        <v>22</v>
      </c>
      <c r="AB3" s="48" t="s">
        <v>23</v>
      </c>
      <c r="AC3" s="48" t="s">
        <v>24</v>
      </c>
    </row>
    <row r="4" spans="1:16372" s="29" customFormat="1" ht="69.95" customHeight="1">
      <c r="A4" s="48"/>
      <c r="B4" s="57"/>
      <c r="C4" s="48"/>
      <c r="D4" s="48"/>
      <c r="E4" s="48"/>
      <c r="F4" s="59"/>
      <c r="G4" s="5" t="s">
        <v>25</v>
      </c>
      <c r="H4" s="6" t="s">
        <v>26</v>
      </c>
      <c r="I4" s="6" t="s">
        <v>27</v>
      </c>
      <c r="J4" s="6" t="s">
        <v>28</v>
      </c>
      <c r="K4" s="6" t="s">
        <v>29</v>
      </c>
      <c r="L4" s="6" t="s">
        <v>30</v>
      </c>
      <c r="M4" s="60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6"/>
      <c r="AA4" s="47"/>
      <c r="AB4" s="48"/>
      <c r="AC4" s="48"/>
    </row>
    <row r="5" spans="1:16372" s="29" customFormat="1" ht="54" customHeight="1">
      <c r="A5" s="7"/>
      <c r="B5" s="8"/>
      <c r="C5" s="8"/>
      <c r="D5" s="7"/>
      <c r="E5" s="9" t="s">
        <v>31</v>
      </c>
      <c r="F5" s="10">
        <f>SUM(F6+F7+F20+F21+F22+F23+F24+F25+F26+F27+F36+F37+F38+F43+F44+F45+F57+F58+F59+F60+F61+F62+F75+F76+F77+F78+F79+F80+F81+F82+F83)</f>
        <v>79076.513399999996</v>
      </c>
      <c r="G5" s="10">
        <f>SUM(G6+G7+G20+G21+G22+G23+G24+G25+G26+G27+G36+G37+G38+G43+G44+G45+G57+G58+G59+G60+G61+G62+G75+G76+G77+G78+G79+G80+G81+G82+G83)</f>
        <v>64995.470000000016</v>
      </c>
      <c r="H5" s="10">
        <f t="shared" ref="H5:X5" si="0">SUM(H6:H7)+SUM(H20:H26)+H27+SUM(H36:H38)+SUM(H43:H45)+SUM(H57:H62)+SUM(H75:H83)</f>
        <v>62371.799999999996</v>
      </c>
      <c r="I5" s="10">
        <f t="shared" si="0"/>
        <v>2361.17</v>
      </c>
      <c r="J5" s="10">
        <f t="shared" si="0"/>
        <v>0</v>
      </c>
      <c r="K5" s="10">
        <f t="shared" si="0"/>
        <v>262.5</v>
      </c>
      <c r="L5" s="10">
        <f t="shared" si="0"/>
        <v>0</v>
      </c>
      <c r="M5" s="10">
        <f t="shared" si="0"/>
        <v>4380.334683</v>
      </c>
      <c r="N5" s="10">
        <f t="shared" si="0"/>
        <v>434.59402799999998</v>
      </c>
      <c r="O5" s="10">
        <f t="shared" si="0"/>
        <v>5832.8006669999986</v>
      </c>
      <c r="P5" s="10">
        <f t="shared" si="0"/>
        <v>5511.2060439999996</v>
      </c>
      <c r="Q5" s="10">
        <f t="shared" si="0"/>
        <v>1180.131965</v>
      </c>
      <c r="R5" s="10">
        <f t="shared" si="0"/>
        <v>9196.3420879999994</v>
      </c>
      <c r="S5" s="10">
        <f t="shared" si="0"/>
        <v>9232.9667339999996</v>
      </c>
      <c r="T5" s="10">
        <f t="shared" si="0"/>
        <v>1708.7042040000006</v>
      </c>
      <c r="U5" s="10">
        <f t="shared" si="0"/>
        <v>17693.195653999999</v>
      </c>
      <c r="V5" s="10">
        <f t="shared" si="0"/>
        <v>5218.6918489999998</v>
      </c>
      <c r="W5" s="10">
        <f t="shared" si="0"/>
        <v>3594.485381</v>
      </c>
      <c r="X5" s="10">
        <f t="shared" si="0"/>
        <v>6148.9736929999999</v>
      </c>
      <c r="Y5" s="10">
        <f>SUM(Y6:Y7)+SUM(Y20:Y26)+Y27+SUM(Y36:Y38)+SUM(Y43:Y45)+SUM(Y57:Y62)+Y75+Y76+Y81+Y82+Y77+Y78+Y79+Y80+Y83</f>
        <v>63360.139620999995</v>
      </c>
      <c r="Z5" s="22">
        <f t="shared" ref="Z5:Z68" si="1">G5-Y5</f>
        <v>1635.3303790000209</v>
      </c>
      <c r="AA5" s="23">
        <f t="shared" ref="AA5:AA68" si="2">Y5/G5</f>
        <v>0.97483931758628684</v>
      </c>
      <c r="AB5" s="24"/>
      <c r="AC5" s="7"/>
    </row>
    <row r="6" spans="1:16372" s="29" customFormat="1" ht="54" customHeight="1">
      <c r="A6" s="11">
        <v>1</v>
      </c>
      <c r="B6" s="11" t="s">
        <v>32</v>
      </c>
      <c r="C6" s="12" t="s">
        <v>33</v>
      </c>
      <c r="D6" s="11" t="s">
        <v>34</v>
      </c>
      <c r="E6" s="12" t="s">
        <v>35</v>
      </c>
      <c r="F6" s="13">
        <v>1700</v>
      </c>
      <c r="G6" s="13">
        <f t="shared" ref="G6:G69" si="3">SUM(H6:L6)</f>
        <v>1700</v>
      </c>
      <c r="H6" s="13">
        <v>1700</v>
      </c>
      <c r="I6" s="13"/>
      <c r="J6" s="13"/>
      <c r="K6" s="13"/>
      <c r="L6" s="13"/>
      <c r="M6" s="15"/>
      <c r="N6" s="15"/>
      <c r="O6" s="15"/>
      <c r="P6" s="15">
        <v>56</v>
      </c>
      <c r="Q6" s="15">
        <v>49</v>
      </c>
      <c r="R6" s="15">
        <v>486.82299999999998</v>
      </c>
      <c r="S6" s="15">
        <v>973.64599999999996</v>
      </c>
      <c r="T6" s="15">
        <v>-98</v>
      </c>
      <c r="U6" s="40">
        <f>-7+113.592</f>
        <v>106.592</v>
      </c>
      <c r="V6" s="15"/>
      <c r="W6" s="15"/>
      <c r="X6" s="15">
        <v>125.93899999999999</v>
      </c>
      <c r="Y6" s="15">
        <f t="shared" ref="Y6:Y19" si="4">SUM(N6:X6)</f>
        <v>1700.0000000000002</v>
      </c>
      <c r="Z6" s="25">
        <f t="shared" si="1"/>
        <v>0</v>
      </c>
      <c r="AA6" s="23">
        <f t="shared" si="2"/>
        <v>1.0000000000000002</v>
      </c>
      <c r="AB6" s="11" t="s">
        <v>36</v>
      </c>
      <c r="AC6" s="30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</row>
    <row r="7" spans="1:16372" s="29" customFormat="1" ht="68.099999999999994" customHeight="1">
      <c r="A7" s="11">
        <v>2</v>
      </c>
      <c r="B7" s="11" t="s">
        <v>37</v>
      </c>
      <c r="C7" s="12" t="s">
        <v>38</v>
      </c>
      <c r="D7" s="11" t="s">
        <v>34</v>
      </c>
      <c r="E7" s="12" t="s">
        <v>39</v>
      </c>
      <c r="F7" s="13">
        <v>3500</v>
      </c>
      <c r="G7" s="13">
        <f t="shared" si="3"/>
        <v>3344.3394120000003</v>
      </c>
      <c r="H7" s="13">
        <f t="shared" ref="H7:X7" si="5">SUM(H8:H19)</f>
        <v>3344.3394120000003</v>
      </c>
      <c r="I7" s="13">
        <f t="shared" si="5"/>
        <v>0</v>
      </c>
      <c r="J7" s="13">
        <f t="shared" si="5"/>
        <v>0</v>
      </c>
      <c r="K7" s="13">
        <f t="shared" si="5"/>
        <v>0</v>
      </c>
      <c r="L7" s="13">
        <f t="shared" si="5"/>
        <v>0</v>
      </c>
      <c r="M7" s="13">
        <f t="shared" si="5"/>
        <v>14.58836</v>
      </c>
      <c r="N7" s="13">
        <f t="shared" si="5"/>
        <v>0</v>
      </c>
      <c r="O7" s="13">
        <f t="shared" si="5"/>
        <v>0</v>
      </c>
      <c r="P7" s="13">
        <f t="shared" si="5"/>
        <v>0</v>
      </c>
      <c r="Q7" s="13">
        <f t="shared" si="5"/>
        <v>0</v>
      </c>
      <c r="R7" s="13">
        <f t="shared" si="5"/>
        <v>1641.8795</v>
      </c>
      <c r="S7" s="13">
        <f t="shared" si="5"/>
        <v>1510.6822179999999</v>
      </c>
      <c r="T7" s="13">
        <f t="shared" si="5"/>
        <v>3.6226259999999999</v>
      </c>
      <c r="U7" s="13">
        <f t="shared" si="5"/>
        <v>1.6168260000000001</v>
      </c>
      <c r="V7" s="13">
        <f t="shared" si="5"/>
        <v>3.233152</v>
      </c>
      <c r="W7" s="15">
        <f t="shared" si="5"/>
        <v>3.3126000000000003E-2</v>
      </c>
      <c r="X7" s="15">
        <f t="shared" si="5"/>
        <v>153.913928</v>
      </c>
      <c r="Y7" s="15">
        <f t="shared" si="4"/>
        <v>3314.9813759999993</v>
      </c>
      <c r="Z7" s="25">
        <f t="shared" si="1"/>
        <v>29.358036000000993</v>
      </c>
      <c r="AA7" s="23">
        <f t="shared" si="2"/>
        <v>0.99122157401409083</v>
      </c>
      <c r="AB7" s="11" t="s">
        <v>40</v>
      </c>
      <c r="AC7" s="30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</row>
    <row r="8" spans="1:16372" s="29" customFormat="1" ht="54" customHeight="1">
      <c r="A8" s="11"/>
      <c r="B8" s="11"/>
      <c r="C8" s="12" t="s">
        <v>41</v>
      </c>
      <c r="D8" s="11"/>
      <c r="E8" s="12"/>
      <c r="F8" s="13"/>
      <c r="G8" s="13">
        <f t="shared" si="3"/>
        <v>344.81822599999998</v>
      </c>
      <c r="H8" s="13">
        <f>364-19.181774</f>
        <v>344.81822599999998</v>
      </c>
      <c r="I8" s="13"/>
      <c r="J8" s="13"/>
      <c r="K8" s="13"/>
      <c r="L8" s="13"/>
      <c r="M8" s="15"/>
      <c r="N8" s="15"/>
      <c r="O8" s="15"/>
      <c r="P8" s="15"/>
      <c r="Q8" s="15"/>
      <c r="R8" s="15">
        <v>169.47825</v>
      </c>
      <c r="S8" s="15">
        <v>152.53042500000001</v>
      </c>
      <c r="T8" s="15"/>
      <c r="U8" s="15"/>
      <c r="V8" s="15"/>
      <c r="W8" s="15"/>
      <c r="X8" s="15">
        <f>4.405726+16.947825</f>
        <v>21.353551000000003</v>
      </c>
      <c r="Y8" s="15">
        <f t="shared" si="4"/>
        <v>343.36222600000002</v>
      </c>
      <c r="Z8" s="25">
        <f t="shared" si="1"/>
        <v>1.4559999999999604</v>
      </c>
      <c r="AA8" s="23">
        <f t="shared" si="2"/>
        <v>0.99577748538152977</v>
      </c>
      <c r="AB8" s="11"/>
      <c r="AC8" s="30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</row>
    <row r="9" spans="1:16372" s="29" customFormat="1" ht="54" customHeight="1">
      <c r="A9" s="11"/>
      <c r="B9" s="11"/>
      <c r="C9" s="12" t="s">
        <v>42</v>
      </c>
      <c r="D9" s="11"/>
      <c r="E9" s="12"/>
      <c r="F9" s="13"/>
      <c r="G9" s="13">
        <f t="shared" si="3"/>
        <v>231.21392600000001</v>
      </c>
      <c r="H9" s="13">
        <f>240-8.786074</f>
        <v>231.21392600000001</v>
      </c>
      <c r="I9" s="13"/>
      <c r="J9" s="13"/>
      <c r="K9" s="13"/>
      <c r="L9" s="13"/>
      <c r="M9" s="15"/>
      <c r="N9" s="15"/>
      <c r="O9" s="15"/>
      <c r="P9" s="15"/>
      <c r="Q9" s="15"/>
      <c r="R9" s="15">
        <v>113.3172</v>
      </c>
      <c r="S9" s="15">
        <f>69.9903+33.9951</f>
        <v>103.9854</v>
      </c>
      <c r="T9" s="15"/>
      <c r="U9" s="15"/>
      <c r="V9" s="15"/>
      <c r="W9" s="15"/>
      <c r="X9" s="15">
        <v>12.951326</v>
      </c>
      <c r="Y9" s="15">
        <f t="shared" si="4"/>
        <v>230.25392599999998</v>
      </c>
      <c r="Z9" s="25">
        <f t="shared" si="1"/>
        <v>0.96000000000003638</v>
      </c>
      <c r="AA9" s="23">
        <f t="shared" si="2"/>
        <v>0.99584800095475201</v>
      </c>
      <c r="AB9" s="11"/>
      <c r="AC9" s="30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</row>
    <row r="10" spans="1:16372" s="29" customFormat="1" ht="54" customHeight="1">
      <c r="A10" s="11"/>
      <c r="B10" s="11"/>
      <c r="C10" s="12" t="s">
        <v>43</v>
      </c>
      <c r="D10" s="11"/>
      <c r="E10" s="12"/>
      <c r="F10" s="13"/>
      <c r="G10" s="13">
        <f t="shared" si="3"/>
        <v>344.95272599999998</v>
      </c>
      <c r="H10" s="13">
        <f>364-19.047274</f>
        <v>344.95272599999998</v>
      </c>
      <c r="I10" s="13"/>
      <c r="J10" s="13"/>
      <c r="K10" s="13"/>
      <c r="L10" s="13"/>
      <c r="M10" s="15">
        <v>0.03</v>
      </c>
      <c r="N10" s="15"/>
      <c r="O10" s="15"/>
      <c r="P10" s="15"/>
      <c r="Q10" s="15"/>
      <c r="R10" s="15">
        <v>169.54499999999999</v>
      </c>
      <c r="S10" s="15">
        <v>154.59049999999999</v>
      </c>
      <c r="T10" s="15"/>
      <c r="U10" s="15"/>
      <c r="V10" s="15"/>
      <c r="W10" s="15"/>
      <c r="X10" s="15">
        <f>2.406726+16.9545</f>
        <v>19.361225999999998</v>
      </c>
      <c r="Y10" s="15">
        <f t="shared" si="4"/>
        <v>343.49672599999997</v>
      </c>
      <c r="Z10" s="25">
        <f t="shared" si="1"/>
        <v>1.4560000000000173</v>
      </c>
      <c r="AA10" s="23">
        <f t="shared" si="2"/>
        <v>0.99577913177587118</v>
      </c>
      <c r="AB10" s="11"/>
      <c r="AC10" s="30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</row>
    <row r="11" spans="1:16372" s="29" customFormat="1" ht="54" customHeight="1">
      <c r="A11" s="12"/>
      <c r="B11" s="12"/>
      <c r="C11" s="12" t="s">
        <v>44</v>
      </c>
      <c r="D11" s="12"/>
      <c r="E11" s="12"/>
      <c r="F11" s="14"/>
      <c r="G11" s="13">
        <f t="shared" si="3"/>
        <v>345.795526</v>
      </c>
      <c r="H11" s="13">
        <f>364-18.204474</f>
        <v>345.795526</v>
      </c>
      <c r="I11" s="14"/>
      <c r="J11" s="14"/>
      <c r="K11" s="14"/>
      <c r="L11" s="14"/>
      <c r="M11" s="15"/>
      <c r="N11" s="14"/>
      <c r="O11" s="14"/>
      <c r="P11" s="14"/>
      <c r="Q11" s="14"/>
      <c r="R11" s="13">
        <v>169.96350000000001</v>
      </c>
      <c r="S11" s="14">
        <f>103.9781+50.98905</f>
        <v>154.96715</v>
      </c>
      <c r="T11" s="13"/>
      <c r="U11" s="14"/>
      <c r="V11" s="14"/>
      <c r="W11" s="14"/>
      <c r="X11" s="13">
        <f>2.412526+16.99635</f>
        <v>19.408875999999999</v>
      </c>
      <c r="Y11" s="15">
        <f t="shared" si="4"/>
        <v>344.33952600000003</v>
      </c>
      <c r="Z11" s="25">
        <f t="shared" si="1"/>
        <v>1.4559999999999604</v>
      </c>
      <c r="AA11" s="23">
        <f t="shared" si="2"/>
        <v>0.99578941920723418</v>
      </c>
      <c r="AB11" s="12"/>
      <c r="AC11" s="30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</row>
    <row r="12" spans="1:16372" s="29" customFormat="1" ht="54" customHeight="1">
      <c r="A12" s="11"/>
      <c r="B12" s="11"/>
      <c r="C12" s="12" t="s">
        <v>45</v>
      </c>
      <c r="D12" s="11"/>
      <c r="E12" s="12"/>
      <c r="F12" s="13"/>
      <c r="G12" s="13">
        <f t="shared" si="3"/>
        <v>231.65762599999999</v>
      </c>
      <c r="H12" s="13">
        <f>240-8.342374</f>
        <v>231.65762599999999</v>
      </c>
      <c r="I12" s="13"/>
      <c r="J12" s="13"/>
      <c r="K12" s="13"/>
      <c r="L12" s="13"/>
      <c r="M12" s="15"/>
      <c r="N12" s="15"/>
      <c r="O12" s="15"/>
      <c r="P12" s="15"/>
      <c r="Q12" s="15"/>
      <c r="R12" s="15">
        <v>113.53749999999999</v>
      </c>
      <c r="S12" s="15">
        <f>2+68.1225+34.06125</f>
        <v>104.18375</v>
      </c>
      <c r="T12" s="15">
        <v>1.6226259999999999</v>
      </c>
      <c r="U12" s="15"/>
      <c r="V12" s="15"/>
      <c r="W12" s="15"/>
      <c r="X12" s="15">
        <v>11.35375</v>
      </c>
      <c r="Y12" s="15">
        <f t="shared" si="4"/>
        <v>230.69762599999999</v>
      </c>
      <c r="Z12" s="25">
        <f t="shared" si="1"/>
        <v>0.96000000000000796</v>
      </c>
      <c r="AA12" s="23">
        <f t="shared" si="2"/>
        <v>0.99585595338873067</v>
      </c>
      <c r="AB12" s="11"/>
      <c r="AC12" s="30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</row>
    <row r="13" spans="1:16372" s="29" customFormat="1" ht="54" customHeight="1">
      <c r="A13" s="11"/>
      <c r="B13" s="11"/>
      <c r="C13" s="12" t="s">
        <v>46</v>
      </c>
      <c r="D13" s="11"/>
      <c r="E13" s="12"/>
      <c r="F13" s="13"/>
      <c r="G13" s="13">
        <f t="shared" si="3"/>
        <v>345.264726</v>
      </c>
      <c r="H13" s="13">
        <f>364-18.735274</f>
        <v>345.264726</v>
      </c>
      <c r="I13" s="13"/>
      <c r="J13" s="13"/>
      <c r="K13" s="13"/>
      <c r="L13" s="13"/>
      <c r="M13" s="15"/>
      <c r="N13" s="15"/>
      <c r="O13" s="15"/>
      <c r="P13" s="15"/>
      <c r="Q13" s="15"/>
      <c r="R13" s="15">
        <v>169.69995</v>
      </c>
      <c r="S13" s="15">
        <v>159.51795300000001</v>
      </c>
      <c r="T13" s="15">
        <v>2</v>
      </c>
      <c r="U13" s="15"/>
      <c r="V13" s="15"/>
      <c r="W13" s="15"/>
      <c r="X13" s="15">
        <v>12.590823</v>
      </c>
      <c r="Y13" s="15">
        <f t="shared" si="4"/>
        <v>343.80872599999998</v>
      </c>
      <c r="Z13" s="25">
        <f t="shared" si="1"/>
        <v>1.4560000000000173</v>
      </c>
      <c r="AA13" s="23">
        <f t="shared" si="2"/>
        <v>0.99578294598215045</v>
      </c>
      <c r="AB13" s="11"/>
      <c r="AC13" s="30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</row>
    <row r="14" spans="1:16372" s="29" customFormat="1" ht="54" customHeight="1">
      <c r="A14" s="11"/>
      <c r="B14" s="11"/>
      <c r="C14" s="12" t="s">
        <v>47</v>
      </c>
      <c r="D14" s="11"/>
      <c r="E14" s="12"/>
      <c r="F14" s="13"/>
      <c r="G14" s="13">
        <f t="shared" si="3"/>
        <v>345.062926</v>
      </c>
      <c r="H14" s="13">
        <f>364-18.937074</f>
        <v>345.062926</v>
      </c>
      <c r="I14" s="13"/>
      <c r="J14" s="13"/>
      <c r="K14" s="13"/>
      <c r="L14" s="13"/>
      <c r="M14" s="15"/>
      <c r="N14" s="15"/>
      <c r="O14" s="15"/>
      <c r="P14" s="15"/>
      <c r="Q14" s="15"/>
      <c r="R14" s="15">
        <v>169.9983</v>
      </c>
      <c r="S14" s="15">
        <f>2+109.2018+49.9995</f>
        <v>161.2013</v>
      </c>
      <c r="T14" s="15"/>
      <c r="U14" s="15"/>
      <c r="V14" s="15"/>
      <c r="W14" s="15">
        <v>3.3126000000000003E-2</v>
      </c>
      <c r="X14" s="15">
        <v>9.9999000000000002</v>
      </c>
      <c r="Y14" s="15">
        <f t="shared" si="4"/>
        <v>341.23262600000004</v>
      </c>
      <c r="Z14" s="25">
        <f t="shared" si="1"/>
        <v>3.8302999999999656</v>
      </c>
      <c r="AA14" s="23">
        <f t="shared" si="2"/>
        <v>0.98889970578873498</v>
      </c>
      <c r="AB14" s="11"/>
      <c r="AC14" s="30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</row>
    <row r="15" spans="1:16372" s="29" customFormat="1" ht="54" customHeight="1">
      <c r="A15" s="11"/>
      <c r="B15" s="11"/>
      <c r="C15" s="12" t="s">
        <v>48</v>
      </c>
      <c r="D15" s="11"/>
      <c r="E15" s="12"/>
      <c r="F15" s="13"/>
      <c r="G15" s="13">
        <f t="shared" si="3"/>
        <v>231.372626</v>
      </c>
      <c r="H15" s="13">
        <f>240-8.627374</f>
        <v>231.372626</v>
      </c>
      <c r="I15" s="13"/>
      <c r="J15" s="13"/>
      <c r="K15" s="13"/>
      <c r="L15" s="13"/>
      <c r="M15" s="15">
        <v>12.958360000000001</v>
      </c>
      <c r="N15" s="15"/>
      <c r="O15" s="15"/>
      <c r="P15" s="15"/>
      <c r="Q15" s="15"/>
      <c r="R15" s="15">
        <v>113.396</v>
      </c>
      <c r="S15" s="15">
        <v>104.0564</v>
      </c>
      <c r="T15" s="15"/>
      <c r="U15" s="15"/>
      <c r="V15" s="15"/>
      <c r="W15" s="15"/>
      <c r="X15" s="15">
        <v>12.960226</v>
      </c>
      <c r="Y15" s="15">
        <f t="shared" si="4"/>
        <v>230.41262600000002</v>
      </c>
      <c r="Z15" s="25">
        <f t="shared" si="1"/>
        <v>0.95999999999997954</v>
      </c>
      <c r="AA15" s="23">
        <f t="shared" si="2"/>
        <v>0.99585084883809905</v>
      </c>
      <c r="AB15" s="11"/>
      <c r="AC15" s="30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</row>
    <row r="16" spans="1:16372" s="29" customFormat="1" ht="54" customHeight="1">
      <c r="A16" s="11"/>
      <c r="B16" s="11"/>
      <c r="C16" s="12" t="s">
        <v>49</v>
      </c>
      <c r="D16" s="11"/>
      <c r="E16" s="12"/>
      <c r="F16" s="13"/>
      <c r="G16" s="13">
        <f t="shared" si="3"/>
        <v>231.78772599999999</v>
      </c>
      <c r="H16" s="13">
        <f>240-8.212274</f>
        <v>231.78772599999999</v>
      </c>
      <c r="I16" s="13"/>
      <c r="J16" s="13"/>
      <c r="K16" s="13"/>
      <c r="L16" s="13"/>
      <c r="M16" s="15"/>
      <c r="N16" s="15"/>
      <c r="O16" s="15"/>
      <c r="P16" s="15"/>
      <c r="Q16" s="15"/>
      <c r="R16" s="15">
        <v>113.60209999999999</v>
      </c>
      <c r="S16" s="15">
        <v>104.24189</v>
      </c>
      <c r="T16" s="15"/>
      <c r="U16" s="15"/>
      <c r="V16" s="15"/>
      <c r="W16" s="15"/>
      <c r="X16" s="15"/>
      <c r="Y16" s="15">
        <f t="shared" si="4"/>
        <v>217.84398999999999</v>
      </c>
      <c r="Z16" s="25">
        <f t="shared" si="1"/>
        <v>13.943736000000001</v>
      </c>
      <c r="AA16" s="23">
        <f t="shared" si="2"/>
        <v>0.93984264723318434</v>
      </c>
      <c r="AB16" s="11"/>
      <c r="AC16" s="30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</row>
    <row r="17" spans="1:16369" s="29" customFormat="1" ht="54" customHeight="1">
      <c r="A17" s="11"/>
      <c r="B17" s="11"/>
      <c r="C17" s="12" t="s">
        <v>50</v>
      </c>
      <c r="D17" s="11"/>
      <c r="E17" s="12"/>
      <c r="F17" s="13"/>
      <c r="G17" s="13">
        <f t="shared" si="3"/>
        <v>230.824026</v>
      </c>
      <c r="H17" s="13">
        <f>240-9.175974</f>
        <v>230.824026</v>
      </c>
      <c r="I17" s="13"/>
      <c r="J17" s="13"/>
      <c r="K17" s="13"/>
      <c r="L17" s="13"/>
      <c r="M17" s="15"/>
      <c r="N17" s="15"/>
      <c r="O17" s="15"/>
      <c r="P17" s="15"/>
      <c r="Q17" s="15"/>
      <c r="R17" s="15">
        <v>113.1236</v>
      </c>
      <c r="S17" s="15">
        <f>67.87416+2+33.937</f>
        <v>103.81116</v>
      </c>
      <c r="T17" s="15"/>
      <c r="U17" s="15">
        <v>1.6168260000000001</v>
      </c>
      <c r="V17" s="15"/>
      <c r="W17" s="15"/>
      <c r="X17" s="15">
        <v>11.31244</v>
      </c>
      <c r="Y17" s="15">
        <f t="shared" si="4"/>
        <v>229.864026</v>
      </c>
      <c r="Z17" s="25">
        <f t="shared" si="1"/>
        <v>0.96000000000000796</v>
      </c>
      <c r="AA17" s="23">
        <f t="shared" si="2"/>
        <v>0.99584098754087236</v>
      </c>
      <c r="AB17" s="11"/>
      <c r="AC17" s="30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</row>
    <row r="18" spans="1:16369" s="29" customFormat="1" ht="54" customHeight="1">
      <c r="A18" s="11"/>
      <c r="B18" s="11"/>
      <c r="C18" s="12" t="s">
        <v>51</v>
      </c>
      <c r="D18" s="11"/>
      <c r="E18" s="12"/>
      <c r="F18" s="13"/>
      <c r="G18" s="13">
        <f t="shared" si="3"/>
        <v>230.82782599999999</v>
      </c>
      <c r="H18" s="13">
        <f>240-9.172174</f>
        <v>230.82782599999999</v>
      </c>
      <c r="I18" s="13"/>
      <c r="J18" s="13"/>
      <c r="K18" s="13"/>
      <c r="L18" s="13"/>
      <c r="M18" s="15"/>
      <c r="N18" s="15"/>
      <c r="O18" s="15"/>
      <c r="P18" s="15"/>
      <c r="Q18" s="15"/>
      <c r="R18" s="15">
        <v>113.1255</v>
      </c>
      <c r="S18" s="15">
        <f>69.8753+33.93765</f>
        <v>103.81295</v>
      </c>
      <c r="T18" s="15"/>
      <c r="U18" s="15"/>
      <c r="V18" s="15">
        <v>1.6168260000000001</v>
      </c>
      <c r="W18" s="15"/>
      <c r="X18" s="15">
        <v>11.31255</v>
      </c>
      <c r="Y18" s="15">
        <f t="shared" si="4"/>
        <v>229.86782599999998</v>
      </c>
      <c r="Z18" s="25">
        <f t="shared" si="1"/>
        <v>0.96000000000000796</v>
      </c>
      <c r="AA18" s="23">
        <f t="shared" si="2"/>
        <v>0.99584105600855932</v>
      </c>
      <c r="AB18" s="11"/>
      <c r="AC18" s="30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</row>
    <row r="19" spans="1:16369" s="29" customFormat="1" ht="54" customHeight="1">
      <c r="A19" s="11"/>
      <c r="B19" s="11"/>
      <c r="C19" s="12" t="s">
        <v>52</v>
      </c>
      <c r="D19" s="11"/>
      <c r="E19" s="12"/>
      <c r="F19" s="13"/>
      <c r="G19" s="13">
        <f t="shared" si="3"/>
        <v>230.761526</v>
      </c>
      <c r="H19" s="13">
        <f>240-9.238474</f>
        <v>230.761526</v>
      </c>
      <c r="I19" s="13"/>
      <c r="J19" s="13"/>
      <c r="K19" s="13"/>
      <c r="L19" s="13"/>
      <c r="M19" s="15">
        <v>1.6</v>
      </c>
      <c r="N19" s="15"/>
      <c r="O19" s="15"/>
      <c r="P19" s="15"/>
      <c r="Q19" s="15"/>
      <c r="R19" s="15">
        <v>113.0926</v>
      </c>
      <c r="S19" s="15">
        <v>103.78334</v>
      </c>
      <c r="T19" s="15"/>
      <c r="U19" s="15"/>
      <c r="V19" s="15">
        <v>1.6163259999999999</v>
      </c>
      <c r="W19" s="15"/>
      <c r="X19" s="15">
        <v>11.30926</v>
      </c>
      <c r="Y19" s="15">
        <f t="shared" si="4"/>
        <v>229.801526</v>
      </c>
      <c r="Z19" s="25">
        <f t="shared" si="1"/>
        <v>0.96000000000000796</v>
      </c>
      <c r="AA19" s="23">
        <f t="shared" si="2"/>
        <v>0.99583986110405598</v>
      </c>
      <c r="AB19" s="11"/>
      <c r="AC19" s="30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</row>
    <row r="20" spans="1:16369" s="29" customFormat="1" ht="63.95" customHeight="1">
      <c r="A20" s="11">
        <v>3</v>
      </c>
      <c r="B20" s="11" t="s">
        <v>53</v>
      </c>
      <c r="C20" s="12" t="s">
        <v>54</v>
      </c>
      <c r="D20" s="11" t="s">
        <v>34</v>
      </c>
      <c r="E20" s="12" t="s">
        <v>55</v>
      </c>
      <c r="F20" s="13">
        <v>9300</v>
      </c>
      <c r="G20" s="13">
        <f t="shared" si="3"/>
        <v>821.66943600000002</v>
      </c>
      <c r="H20" s="13">
        <v>821.66943600000002</v>
      </c>
      <c r="I20" s="13"/>
      <c r="J20" s="13"/>
      <c r="K20" s="13"/>
      <c r="L20" s="13"/>
      <c r="M20" s="15">
        <v>626.12105799999995</v>
      </c>
      <c r="N20" s="15"/>
      <c r="O20" s="16">
        <f>2595.484091+112.414194</f>
        <v>2707.8982849999998</v>
      </c>
      <c r="P20" s="15">
        <f>714.263368+629.976017+2727.369669</f>
        <v>4071.609054</v>
      </c>
      <c r="Q20" s="15"/>
      <c r="R20" s="15">
        <f>793.73266+180.000001</f>
        <v>973.73266100000001</v>
      </c>
      <c r="S20" s="15">
        <v>108</v>
      </c>
      <c r="T20" s="15">
        <v>-5699.0960569999997</v>
      </c>
      <c r="U20" s="41"/>
      <c r="V20" s="15">
        <v>363.40821899999997</v>
      </c>
      <c r="W20" s="15">
        <v>136.182275</v>
      </c>
      <c r="X20" s="15">
        <v>48.2</v>
      </c>
      <c r="Y20" s="15">
        <f>273.878942+363.408219+136.182275+48.2</f>
        <v>821.66943600000002</v>
      </c>
      <c r="Z20" s="25">
        <f t="shared" si="1"/>
        <v>0</v>
      </c>
      <c r="AA20" s="23">
        <f t="shared" si="2"/>
        <v>1</v>
      </c>
      <c r="AB20" s="11" t="s">
        <v>56</v>
      </c>
      <c r="AC20" s="30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</row>
    <row r="21" spans="1:16369" s="29" customFormat="1" ht="54" customHeight="1">
      <c r="A21" s="11">
        <v>4</v>
      </c>
      <c r="B21" s="11" t="s">
        <v>57</v>
      </c>
      <c r="C21" s="12" t="s">
        <v>58</v>
      </c>
      <c r="D21" s="11" t="s">
        <v>34</v>
      </c>
      <c r="E21" s="12" t="s">
        <v>59</v>
      </c>
      <c r="F21" s="13">
        <v>1390</v>
      </c>
      <c r="G21" s="13">
        <f t="shared" si="3"/>
        <v>1387</v>
      </c>
      <c r="H21" s="13">
        <f>1390-3</f>
        <v>1387</v>
      </c>
      <c r="I21" s="13"/>
      <c r="J21" s="13"/>
      <c r="K21" s="13"/>
      <c r="L21" s="13"/>
      <c r="M21" s="15"/>
      <c r="N21" s="15"/>
      <c r="O21" s="15">
        <v>1387</v>
      </c>
      <c r="P21" s="15"/>
      <c r="Q21" s="15"/>
      <c r="R21" s="15"/>
      <c r="S21" s="15"/>
      <c r="T21" s="15"/>
      <c r="U21" s="15"/>
      <c r="V21" s="15"/>
      <c r="W21" s="15"/>
      <c r="X21" s="15"/>
      <c r="Y21" s="15">
        <f t="shared" ref="Y21:Y24" si="6">SUM(N21:X21)</f>
        <v>1387</v>
      </c>
      <c r="Z21" s="25">
        <f t="shared" si="1"/>
        <v>0</v>
      </c>
      <c r="AA21" s="23">
        <f t="shared" si="2"/>
        <v>1</v>
      </c>
      <c r="AB21" s="11" t="s">
        <v>56</v>
      </c>
      <c r="AC21" s="30"/>
    </row>
    <row r="22" spans="1:16369" s="29" customFormat="1" ht="78" customHeight="1">
      <c r="A22" s="11">
        <v>5</v>
      </c>
      <c r="B22" s="11" t="s">
        <v>60</v>
      </c>
      <c r="C22" s="12" t="s">
        <v>61</v>
      </c>
      <c r="D22" s="11" t="s">
        <v>34</v>
      </c>
      <c r="E22" s="12" t="s">
        <v>62</v>
      </c>
      <c r="F22" s="13">
        <v>85.26</v>
      </c>
      <c r="G22" s="13">
        <f t="shared" si="3"/>
        <v>85.26</v>
      </c>
      <c r="H22" s="13">
        <v>85.26</v>
      </c>
      <c r="I22" s="13"/>
      <c r="J22" s="13"/>
      <c r="K22" s="13"/>
      <c r="L22" s="13"/>
      <c r="M22" s="15"/>
      <c r="N22" s="15"/>
      <c r="O22" s="15">
        <v>45.26</v>
      </c>
      <c r="P22" s="15">
        <v>40</v>
      </c>
      <c r="Q22" s="15"/>
      <c r="R22" s="15"/>
      <c r="S22" s="15"/>
      <c r="T22" s="15"/>
      <c r="U22" s="15"/>
      <c r="V22" s="15"/>
      <c r="W22" s="15"/>
      <c r="X22" s="15"/>
      <c r="Y22" s="15">
        <f t="shared" si="6"/>
        <v>85.259999999999991</v>
      </c>
      <c r="Z22" s="25">
        <f t="shared" si="1"/>
        <v>0</v>
      </c>
      <c r="AA22" s="23">
        <f t="shared" si="2"/>
        <v>0.99999999999999978</v>
      </c>
      <c r="AB22" s="11" t="s">
        <v>56</v>
      </c>
      <c r="AC22" s="30"/>
    </row>
    <row r="23" spans="1:16369" s="26" customFormat="1" ht="71.25">
      <c r="A23" s="11">
        <v>6</v>
      </c>
      <c r="B23" s="11" t="s">
        <v>63</v>
      </c>
      <c r="C23" s="12" t="s">
        <v>64</v>
      </c>
      <c r="D23" s="11" t="s">
        <v>34</v>
      </c>
      <c r="E23" s="12" t="s">
        <v>65</v>
      </c>
      <c r="F23" s="13">
        <v>1500</v>
      </c>
      <c r="G23" s="13">
        <f t="shared" si="3"/>
        <v>1500</v>
      </c>
      <c r="H23" s="13">
        <v>1237.5</v>
      </c>
      <c r="I23" s="13"/>
      <c r="J23" s="13"/>
      <c r="K23" s="13">
        <f>262.5</f>
        <v>262.5</v>
      </c>
      <c r="L23" s="13"/>
      <c r="M23" s="17"/>
      <c r="N23" s="17">
        <v>434.59402799999998</v>
      </c>
      <c r="O23" s="17">
        <f>434.594028+4.5+1</f>
        <v>440.09402799999998</v>
      </c>
      <c r="P23" s="17">
        <v>436.76699000000002</v>
      </c>
      <c r="Q23" s="17">
        <v>106.475514</v>
      </c>
      <c r="R23" s="17">
        <f>43.459408+6</f>
        <v>49.459408000000003</v>
      </c>
      <c r="S23" s="17"/>
      <c r="T23" s="17"/>
      <c r="U23" s="17"/>
      <c r="V23" s="17"/>
      <c r="W23" s="17"/>
      <c r="X23" s="17">
        <v>32.610031999999997</v>
      </c>
      <c r="Y23" s="15">
        <f t="shared" si="6"/>
        <v>1500</v>
      </c>
      <c r="Z23" s="25">
        <f t="shared" si="1"/>
        <v>0</v>
      </c>
      <c r="AA23" s="23">
        <f t="shared" si="2"/>
        <v>1</v>
      </c>
      <c r="AB23" s="31" t="s">
        <v>66</v>
      </c>
      <c r="AC23" s="30"/>
    </row>
    <row r="24" spans="1:16369" s="26" customFormat="1" ht="71.25">
      <c r="A24" s="11">
        <v>7</v>
      </c>
      <c r="B24" s="11" t="s">
        <v>67</v>
      </c>
      <c r="C24" s="12" t="s">
        <v>68</v>
      </c>
      <c r="D24" s="11" t="s">
        <v>34</v>
      </c>
      <c r="E24" s="12" t="s">
        <v>69</v>
      </c>
      <c r="F24" s="13">
        <v>930</v>
      </c>
      <c r="G24" s="13">
        <f t="shared" si="3"/>
        <v>930</v>
      </c>
      <c r="H24" s="13">
        <v>930</v>
      </c>
      <c r="I24" s="13"/>
      <c r="J24" s="13"/>
      <c r="K24" s="13"/>
      <c r="L24" s="13"/>
      <c r="M24" s="17"/>
      <c r="N24" s="17"/>
      <c r="O24" s="17">
        <f>483.4+27.5+8</f>
        <v>518.9</v>
      </c>
      <c r="P24" s="17">
        <v>27.5</v>
      </c>
      <c r="Q24" s="17">
        <v>219.214462</v>
      </c>
      <c r="R24" s="17">
        <v>156.63999999999999</v>
      </c>
      <c r="S24" s="17"/>
      <c r="T24" s="17"/>
      <c r="U24" s="17"/>
      <c r="V24" s="17"/>
      <c r="W24" s="17"/>
      <c r="X24" s="17">
        <v>7.7455379999999998</v>
      </c>
      <c r="Y24" s="15">
        <f t="shared" si="6"/>
        <v>930</v>
      </c>
      <c r="Z24" s="25">
        <f t="shared" si="1"/>
        <v>0</v>
      </c>
      <c r="AA24" s="23">
        <f t="shared" si="2"/>
        <v>1</v>
      </c>
      <c r="AB24" s="31" t="s">
        <v>66</v>
      </c>
      <c r="AC24" s="30"/>
    </row>
    <row r="25" spans="1:16369" s="26" customFormat="1" ht="71.25">
      <c r="A25" s="11">
        <v>8</v>
      </c>
      <c r="B25" s="11" t="s">
        <v>70</v>
      </c>
      <c r="C25" s="12" t="s">
        <v>71</v>
      </c>
      <c r="D25" s="11" t="s">
        <v>34</v>
      </c>
      <c r="E25" s="12" t="s">
        <v>72</v>
      </c>
      <c r="F25" s="13">
        <v>8000</v>
      </c>
      <c r="G25" s="13">
        <f t="shared" si="3"/>
        <v>3390.7170120000001</v>
      </c>
      <c r="H25" s="13">
        <v>3390.7170120000001</v>
      </c>
      <c r="I25" s="13"/>
      <c r="J25" s="13"/>
      <c r="K25" s="13"/>
      <c r="L25" s="13"/>
      <c r="M25" s="17"/>
      <c r="N25" s="17"/>
      <c r="O25" s="17"/>
      <c r="P25" s="17"/>
      <c r="Q25" s="17"/>
      <c r="R25" s="17">
        <v>2344.2893100000001</v>
      </c>
      <c r="S25" s="17">
        <v>2344.2893100000001</v>
      </c>
      <c r="T25" s="17"/>
      <c r="U25" s="17"/>
      <c r="V25" s="17"/>
      <c r="W25" s="17">
        <v>-1148.3609200000001</v>
      </c>
      <c r="X25" s="17"/>
      <c r="Y25" s="15">
        <v>3036.5300149999998</v>
      </c>
      <c r="Z25" s="25">
        <f t="shared" si="1"/>
        <v>354.18699700000025</v>
      </c>
      <c r="AA25" s="23">
        <f t="shared" si="2"/>
        <v>0.89554215354849542</v>
      </c>
      <c r="AB25" s="31" t="s">
        <v>66</v>
      </c>
      <c r="AC25" s="30"/>
    </row>
    <row r="26" spans="1:16369" s="26" customFormat="1" ht="54" customHeight="1">
      <c r="A26" s="11">
        <v>9</v>
      </c>
      <c r="B26" s="11">
        <v>1</v>
      </c>
      <c r="C26" s="12" t="s">
        <v>73</v>
      </c>
      <c r="D26" s="11" t="s">
        <v>34</v>
      </c>
      <c r="E26" s="12" t="s">
        <v>74</v>
      </c>
      <c r="F26" s="13">
        <v>2000</v>
      </c>
      <c r="G26" s="13">
        <f t="shared" si="3"/>
        <v>6200</v>
      </c>
      <c r="H26" s="13">
        <f>3027.09+3172.91</f>
        <v>6200</v>
      </c>
      <c r="I26" s="13"/>
      <c r="J26" s="13"/>
      <c r="K26" s="13"/>
      <c r="L26" s="13"/>
      <c r="M26" s="17"/>
      <c r="N26" s="17"/>
      <c r="O26" s="17"/>
      <c r="P26" s="17"/>
      <c r="Q26" s="17"/>
      <c r="R26" s="17"/>
      <c r="S26" s="17"/>
      <c r="T26" s="17"/>
      <c r="U26" s="17"/>
      <c r="V26" s="17">
        <v>2085.9</v>
      </c>
      <c r="W26" s="17">
        <v>4096.6000000000004</v>
      </c>
      <c r="X26" s="17"/>
      <c r="Y26" s="15">
        <f t="shared" ref="Y26:Y37" si="7">SUM(N26:X26)</f>
        <v>6182.5</v>
      </c>
      <c r="Z26" s="25">
        <f t="shared" si="1"/>
        <v>17.5</v>
      </c>
      <c r="AA26" s="23">
        <f t="shared" si="2"/>
        <v>0.99717741935483872</v>
      </c>
      <c r="AB26" s="31" t="s">
        <v>66</v>
      </c>
      <c r="AC26" s="30"/>
    </row>
    <row r="27" spans="1:16369" s="26" customFormat="1" ht="54" customHeight="1">
      <c r="A27" s="11">
        <v>10</v>
      </c>
      <c r="B27" s="11" t="s">
        <v>75</v>
      </c>
      <c r="C27" s="12" t="s">
        <v>76</v>
      </c>
      <c r="D27" s="11" t="s">
        <v>34</v>
      </c>
      <c r="E27" s="12" t="s">
        <v>77</v>
      </c>
      <c r="F27" s="13">
        <v>2783</v>
      </c>
      <c r="G27" s="13">
        <f t="shared" si="3"/>
        <v>2783</v>
      </c>
      <c r="H27" s="13">
        <f t="shared" ref="H27:X27" si="8">SUM(H28:H35)</f>
        <v>2783</v>
      </c>
      <c r="I27" s="13">
        <f t="shared" si="8"/>
        <v>0</v>
      </c>
      <c r="J27" s="13">
        <f t="shared" si="8"/>
        <v>0</v>
      </c>
      <c r="K27" s="13">
        <f t="shared" si="8"/>
        <v>0</v>
      </c>
      <c r="L27" s="13">
        <f t="shared" si="8"/>
        <v>0</v>
      </c>
      <c r="M27" s="13">
        <f t="shared" si="8"/>
        <v>66.951031</v>
      </c>
      <c r="N27" s="13">
        <f t="shared" si="8"/>
        <v>0</v>
      </c>
      <c r="O27" s="13">
        <f t="shared" si="8"/>
        <v>12.756</v>
      </c>
      <c r="P27" s="13">
        <f t="shared" si="8"/>
        <v>102.03</v>
      </c>
      <c r="Q27" s="13">
        <f t="shared" si="8"/>
        <v>573.54198899999994</v>
      </c>
      <c r="R27" s="13">
        <f t="shared" si="8"/>
        <v>1069.16893</v>
      </c>
      <c r="S27" s="13">
        <f t="shared" si="8"/>
        <v>478.94514700000002</v>
      </c>
      <c r="T27" s="13">
        <f t="shared" si="8"/>
        <v>53.642099999999999</v>
      </c>
      <c r="U27" s="13">
        <f t="shared" si="8"/>
        <v>268.83696599999996</v>
      </c>
      <c r="V27" s="13">
        <f t="shared" si="8"/>
        <v>26.5169</v>
      </c>
      <c r="W27" s="13">
        <f t="shared" si="8"/>
        <v>0</v>
      </c>
      <c r="X27" s="13">
        <f t="shared" si="8"/>
        <v>141.72123299999998</v>
      </c>
      <c r="Y27" s="15">
        <f t="shared" si="7"/>
        <v>2727.1592650000002</v>
      </c>
      <c r="Z27" s="25">
        <f t="shared" si="1"/>
        <v>55.840734999999768</v>
      </c>
      <c r="AA27" s="23">
        <f t="shared" si="2"/>
        <v>0.97993505749191523</v>
      </c>
      <c r="AB27" s="31" t="s">
        <v>78</v>
      </c>
      <c r="AC27" s="30"/>
    </row>
    <row r="28" spans="1:16369" s="26" customFormat="1" ht="54" customHeight="1">
      <c r="A28" s="11"/>
      <c r="B28" s="11"/>
      <c r="C28" s="12" t="s">
        <v>79</v>
      </c>
      <c r="D28" s="11"/>
      <c r="E28" s="12" t="s">
        <v>79</v>
      </c>
      <c r="F28" s="13"/>
      <c r="G28" s="13">
        <f t="shared" si="3"/>
        <v>330</v>
      </c>
      <c r="H28" s="13">
        <v>330</v>
      </c>
      <c r="I28" s="13"/>
      <c r="J28" s="13"/>
      <c r="K28" s="13"/>
      <c r="L28" s="13"/>
      <c r="M28" s="13"/>
      <c r="N28" s="13"/>
      <c r="O28" s="13"/>
      <c r="P28" s="13">
        <v>102.03</v>
      </c>
      <c r="Q28" s="13">
        <v>90.96</v>
      </c>
      <c r="R28" s="17">
        <v>114.92</v>
      </c>
      <c r="S28" s="17">
        <v>20.666564000000001</v>
      </c>
      <c r="T28" s="17"/>
      <c r="U28" s="17"/>
      <c r="V28" s="17"/>
      <c r="W28" s="17"/>
      <c r="X28" s="17"/>
      <c r="Y28" s="15">
        <f t="shared" si="7"/>
        <v>328.57656400000002</v>
      </c>
      <c r="Z28" s="25">
        <f t="shared" si="1"/>
        <v>1.423435999999981</v>
      </c>
      <c r="AA28" s="23">
        <f t="shared" si="2"/>
        <v>0.99568655757575764</v>
      </c>
      <c r="AB28" s="31"/>
      <c r="AC28" s="30"/>
    </row>
    <row r="29" spans="1:16369" s="26" customFormat="1" ht="54" customHeight="1">
      <c r="A29" s="11"/>
      <c r="B29" s="11"/>
      <c r="C29" s="12" t="s">
        <v>42</v>
      </c>
      <c r="D29" s="11"/>
      <c r="E29" s="12" t="s">
        <v>80</v>
      </c>
      <c r="F29" s="13"/>
      <c r="G29" s="13">
        <f t="shared" si="3"/>
        <v>480</v>
      </c>
      <c r="H29" s="13">
        <v>480</v>
      </c>
      <c r="I29" s="13"/>
      <c r="J29" s="13"/>
      <c r="K29" s="13"/>
      <c r="L29" s="13"/>
      <c r="M29" s="17"/>
      <c r="N29" s="17"/>
      <c r="O29" s="17"/>
      <c r="P29" s="17"/>
      <c r="Q29" s="17"/>
      <c r="R29" s="17">
        <f>7.8681+18.123+133.3448</f>
        <v>159.33589999999998</v>
      </c>
      <c r="S29" s="17">
        <v>133.34479999999999</v>
      </c>
      <c r="T29" s="17"/>
      <c r="U29" s="17">
        <v>143.19479999999999</v>
      </c>
      <c r="V29" s="17"/>
      <c r="W29" s="17"/>
      <c r="X29" s="17">
        <v>44.124499999999998</v>
      </c>
      <c r="Y29" s="15">
        <f t="shared" si="7"/>
        <v>480</v>
      </c>
      <c r="Z29" s="25">
        <f t="shared" si="1"/>
        <v>0</v>
      </c>
      <c r="AA29" s="23">
        <f t="shared" si="2"/>
        <v>1</v>
      </c>
      <c r="AB29" s="31"/>
      <c r="AC29" s="30"/>
    </row>
    <row r="30" spans="1:16369" s="26" customFormat="1" ht="54" customHeight="1">
      <c r="A30" s="11"/>
      <c r="B30" s="11"/>
      <c r="C30" s="12" t="s">
        <v>43</v>
      </c>
      <c r="D30" s="11"/>
      <c r="E30" s="12" t="s">
        <v>81</v>
      </c>
      <c r="F30" s="13"/>
      <c r="G30" s="13">
        <f t="shared" si="3"/>
        <v>330</v>
      </c>
      <c r="H30" s="13">
        <v>330</v>
      </c>
      <c r="I30" s="13"/>
      <c r="J30" s="13"/>
      <c r="K30" s="13"/>
      <c r="L30" s="13"/>
      <c r="M30" s="17"/>
      <c r="N30" s="17"/>
      <c r="O30" s="17"/>
      <c r="P30" s="17"/>
      <c r="Q30" s="17">
        <v>88.367360000000005</v>
      </c>
      <c r="R30" s="17">
        <f>2.3934+99.87166</f>
        <v>102.26506000000001</v>
      </c>
      <c r="S30" s="17">
        <v>103.70996</v>
      </c>
      <c r="T30" s="17"/>
      <c r="U30" s="17">
        <v>14.72789</v>
      </c>
      <c r="V30" s="17"/>
      <c r="W30" s="17"/>
      <c r="X30" s="17">
        <v>14.727881</v>
      </c>
      <c r="Y30" s="15">
        <f t="shared" si="7"/>
        <v>323.79815100000008</v>
      </c>
      <c r="Z30" s="25">
        <f t="shared" si="1"/>
        <v>6.2018489999999247</v>
      </c>
      <c r="AA30" s="23">
        <f t="shared" si="2"/>
        <v>0.98120651818181837</v>
      </c>
      <c r="AB30" s="31"/>
      <c r="AC30" s="30"/>
    </row>
    <row r="31" spans="1:16369" s="26" customFormat="1" ht="54" customHeight="1">
      <c r="A31" s="11"/>
      <c r="B31" s="11"/>
      <c r="C31" s="12" t="s">
        <v>45</v>
      </c>
      <c r="D31" s="11"/>
      <c r="E31" s="12" t="s">
        <v>82</v>
      </c>
      <c r="F31" s="13"/>
      <c r="G31" s="13">
        <f t="shared" si="3"/>
        <v>390</v>
      </c>
      <c r="H31" s="13">
        <v>390</v>
      </c>
      <c r="I31" s="13"/>
      <c r="J31" s="13"/>
      <c r="K31" s="13"/>
      <c r="L31" s="13"/>
      <c r="M31" s="17"/>
      <c r="N31" s="17"/>
      <c r="O31" s="17"/>
      <c r="P31" s="17"/>
      <c r="Q31" s="17">
        <v>107.2842</v>
      </c>
      <c r="R31" s="17">
        <v>125.2204</v>
      </c>
      <c r="S31" s="17">
        <v>82.534599999999998</v>
      </c>
      <c r="T31" s="17">
        <v>53.642099999999999</v>
      </c>
      <c r="U31" s="17"/>
      <c r="V31" s="17"/>
      <c r="W31" s="17"/>
      <c r="X31" s="17">
        <v>19.665887000000001</v>
      </c>
      <c r="Y31" s="15">
        <f t="shared" si="7"/>
        <v>388.34718699999996</v>
      </c>
      <c r="Z31" s="25">
        <f t="shared" si="1"/>
        <v>1.6528130000000374</v>
      </c>
      <c r="AA31" s="23">
        <f t="shared" si="2"/>
        <v>0.99576201794871788</v>
      </c>
      <c r="AB31" s="31"/>
      <c r="AC31" s="30"/>
    </row>
    <row r="32" spans="1:16369" s="26" customFormat="1" ht="54" customHeight="1">
      <c r="A32" s="11"/>
      <c r="B32" s="11"/>
      <c r="C32" s="12" t="s">
        <v>46</v>
      </c>
      <c r="D32" s="11"/>
      <c r="E32" s="12" t="s">
        <v>83</v>
      </c>
      <c r="F32" s="13"/>
      <c r="G32" s="13">
        <f t="shared" si="3"/>
        <v>390</v>
      </c>
      <c r="H32" s="13">
        <v>390</v>
      </c>
      <c r="I32" s="13"/>
      <c r="J32" s="13"/>
      <c r="K32" s="13"/>
      <c r="L32" s="13"/>
      <c r="M32" s="17">
        <v>26.5169</v>
      </c>
      <c r="N32" s="17"/>
      <c r="O32" s="17"/>
      <c r="P32" s="17"/>
      <c r="Q32" s="17">
        <v>112.3616</v>
      </c>
      <c r="R32" s="17">
        <v>187.26931999999999</v>
      </c>
      <c r="S32" s="17"/>
      <c r="T32" s="17"/>
      <c r="U32" s="17">
        <v>46.458503</v>
      </c>
      <c r="V32" s="17">
        <v>26.5169</v>
      </c>
      <c r="W32" s="17"/>
      <c r="X32" s="17">
        <v>15.430965</v>
      </c>
      <c r="Y32" s="15">
        <f t="shared" si="7"/>
        <v>388.03728800000005</v>
      </c>
      <c r="Z32" s="25">
        <f t="shared" si="1"/>
        <v>1.9627119999999536</v>
      </c>
      <c r="AA32" s="23">
        <f t="shared" si="2"/>
        <v>0.99496740512820525</v>
      </c>
      <c r="AB32" s="31"/>
      <c r="AC32" s="30"/>
    </row>
    <row r="33" spans="1:29" s="26" customFormat="1" ht="54" customHeight="1">
      <c r="A33" s="11"/>
      <c r="B33" s="11"/>
      <c r="C33" s="12" t="s">
        <v>47</v>
      </c>
      <c r="D33" s="11"/>
      <c r="E33" s="12" t="s">
        <v>84</v>
      </c>
      <c r="F33" s="13"/>
      <c r="G33" s="13">
        <f t="shared" si="3"/>
        <v>283</v>
      </c>
      <c r="H33" s="13">
        <v>283</v>
      </c>
      <c r="I33" s="13"/>
      <c r="J33" s="13"/>
      <c r="K33" s="13"/>
      <c r="L33" s="13"/>
      <c r="M33" s="17"/>
      <c r="N33" s="17"/>
      <c r="O33" s="17"/>
      <c r="P33" s="17"/>
      <c r="Q33" s="17">
        <v>95.673029</v>
      </c>
      <c r="R33" s="17">
        <f>128.73425+2.549</f>
        <v>131.28325000000001</v>
      </c>
      <c r="S33" s="17"/>
      <c r="T33" s="17"/>
      <c r="U33" s="17">
        <f>25.74685+12.87345</f>
        <v>38.6203</v>
      </c>
      <c r="V33" s="17"/>
      <c r="W33" s="17"/>
      <c r="X33" s="17">
        <v>12.8734</v>
      </c>
      <c r="Y33" s="15">
        <f t="shared" si="7"/>
        <v>278.44997899999998</v>
      </c>
      <c r="Z33" s="25">
        <f t="shared" si="1"/>
        <v>4.5500210000000152</v>
      </c>
      <c r="AA33" s="23">
        <f t="shared" si="2"/>
        <v>0.98392218727915193</v>
      </c>
      <c r="AB33" s="31"/>
      <c r="AC33" s="30"/>
    </row>
    <row r="34" spans="1:29" s="26" customFormat="1" ht="54" customHeight="1">
      <c r="A34" s="11"/>
      <c r="B34" s="11"/>
      <c r="C34" s="12" t="s">
        <v>85</v>
      </c>
      <c r="D34" s="11"/>
      <c r="E34" s="12" t="s">
        <v>85</v>
      </c>
      <c r="F34" s="13"/>
      <c r="G34" s="13">
        <f t="shared" si="3"/>
        <v>300</v>
      </c>
      <c r="H34" s="13">
        <v>300</v>
      </c>
      <c r="I34" s="13"/>
      <c r="J34" s="13"/>
      <c r="K34" s="13"/>
      <c r="L34" s="13"/>
      <c r="M34" s="17">
        <v>22.349299999999999</v>
      </c>
      <c r="N34" s="17"/>
      <c r="O34" s="17">
        <v>12.756</v>
      </c>
      <c r="P34" s="17"/>
      <c r="Q34" s="17">
        <v>78.895799999999994</v>
      </c>
      <c r="R34" s="17">
        <f>75.2958+7.1663+25.0986</f>
        <v>107.5607</v>
      </c>
      <c r="S34" s="17">
        <v>52.497199999999999</v>
      </c>
      <c r="T34" s="17"/>
      <c r="U34" s="17"/>
      <c r="V34" s="17"/>
      <c r="W34" s="17"/>
      <c r="X34" s="17">
        <v>34.898600000000002</v>
      </c>
      <c r="Y34" s="15">
        <f t="shared" si="7"/>
        <v>286.60829999999999</v>
      </c>
      <c r="Z34" s="25">
        <f t="shared" si="1"/>
        <v>13.391700000000014</v>
      </c>
      <c r="AA34" s="23">
        <f t="shared" si="2"/>
        <v>0.9553609999999999</v>
      </c>
      <c r="AB34" s="31"/>
      <c r="AC34" s="30"/>
    </row>
    <row r="35" spans="1:29" s="26" customFormat="1" ht="54" customHeight="1">
      <c r="A35" s="11"/>
      <c r="B35" s="11"/>
      <c r="C35" s="12" t="s">
        <v>49</v>
      </c>
      <c r="D35" s="11"/>
      <c r="E35" s="12" t="s">
        <v>86</v>
      </c>
      <c r="F35" s="13"/>
      <c r="G35" s="13">
        <f t="shared" si="3"/>
        <v>280</v>
      </c>
      <c r="H35" s="13">
        <v>280</v>
      </c>
      <c r="I35" s="13"/>
      <c r="J35" s="13"/>
      <c r="K35" s="13"/>
      <c r="L35" s="13"/>
      <c r="M35" s="17">
        <v>18.084831000000001</v>
      </c>
      <c r="N35" s="17"/>
      <c r="O35" s="17"/>
      <c r="P35" s="17"/>
      <c r="Q35" s="17"/>
      <c r="R35" s="17">
        <f>12.2+129.1143</f>
        <v>141.31429999999997</v>
      </c>
      <c r="S35" s="17">
        <f>6.718+79.474023</f>
        <v>86.192023000000006</v>
      </c>
      <c r="T35" s="17"/>
      <c r="U35" s="17">
        <f>25.835473</f>
        <v>25.835473</v>
      </c>
      <c r="V35" s="17"/>
      <c r="W35" s="17"/>
      <c r="X35" s="17"/>
      <c r="Y35" s="15">
        <f t="shared" si="7"/>
        <v>253.34179599999999</v>
      </c>
      <c r="Z35" s="25">
        <f t="shared" si="1"/>
        <v>26.658204000000012</v>
      </c>
      <c r="AA35" s="23">
        <f t="shared" si="2"/>
        <v>0.90479212857142854</v>
      </c>
      <c r="AB35" s="31"/>
      <c r="AC35" s="30"/>
    </row>
    <row r="36" spans="1:29" s="26" customFormat="1" ht="54" customHeight="1">
      <c r="A36" s="11">
        <v>11</v>
      </c>
      <c r="B36" s="11" t="s">
        <v>87</v>
      </c>
      <c r="C36" s="12" t="s">
        <v>88</v>
      </c>
      <c r="D36" s="11" t="s">
        <v>34</v>
      </c>
      <c r="E36" s="12" t="s">
        <v>89</v>
      </c>
      <c r="F36" s="13">
        <v>1000</v>
      </c>
      <c r="G36" s="13">
        <f t="shared" si="3"/>
        <v>1222.2367400000001</v>
      </c>
      <c r="H36" s="13">
        <v>1222.2367400000001</v>
      </c>
      <c r="I36" s="13"/>
      <c r="J36" s="13"/>
      <c r="K36" s="13"/>
      <c r="L36" s="13"/>
      <c r="M36" s="17"/>
      <c r="N36" s="17"/>
      <c r="O36" s="17">
        <v>344.69235400000002</v>
      </c>
      <c r="P36" s="17"/>
      <c r="Q36" s="17"/>
      <c r="R36" s="17">
        <v>240.984803</v>
      </c>
      <c r="S36" s="17"/>
      <c r="T36" s="17"/>
      <c r="U36" s="17">
        <v>307.39220799999998</v>
      </c>
      <c r="V36" s="17"/>
      <c r="W36" s="17"/>
      <c r="X36" s="17">
        <v>329.16737499999999</v>
      </c>
      <c r="Y36" s="15">
        <f t="shared" si="7"/>
        <v>1222.2367400000001</v>
      </c>
      <c r="Z36" s="25">
        <f t="shared" si="1"/>
        <v>0</v>
      </c>
      <c r="AA36" s="23">
        <f t="shared" si="2"/>
        <v>1</v>
      </c>
      <c r="AB36" s="31" t="s">
        <v>90</v>
      </c>
      <c r="AC36" s="30"/>
    </row>
    <row r="37" spans="1:29" s="26" customFormat="1" ht="81" customHeight="1">
      <c r="A37" s="11">
        <v>12</v>
      </c>
      <c r="B37" s="11" t="s">
        <v>91</v>
      </c>
      <c r="C37" s="12" t="s">
        <v>92</v>
      </c>
      <c r="D37" s="11" t="s">
        <v>34</v>
      </c>
      <c r="E37" s="12" t="s">
        <v>159</v>
      </c>
      <c r="F37" s="13">
        <v>17500</v>
      </c>
      <c r="G37" s="13">
        <f t="shared" si="3"/>
        <v>17237.471310000001</v>
      </c>
      <c r="H37" s="13">
        <v>17237.471310000001</v>
      </c>
      <c r="I37" s="13"/>
      <c r="J37" s="13"/>
      <c r="K37" s="13"/>
      <c r="L37" s="13"/>
      <c r="M37" s="17">
        <v>1200</v>
      </c>
      <c r="N37" s="17"/>
      <c r="O37" s="17"/>
      <c r="P37" s="17"/>
      <c r="Q37" s="17"/>
      <c r="R37" s="17">
        <v>5.58</v>
      </c>
      <c r="S37" s="17">
        <v>35</v>
      </c>
      <c r="T37" s="17">
        <v>6825.9855740000003</v>
      </c>
      <c r="U37" s="17">
        <v>8500</v>
      </c>
      <c r="V37" s="17">
        <f>1194.5475+27.44</f>
        <v>1221.9875</v>
      </c>
      <c r="W37" s="17"/>
      <c r="X37" s="17">
        <f>15+500</f>
        <v>515</v>
      </c>
      <c r="Y37" s="15">
        <f t="shared" si="7"/>
        <v>17103.553073999999</v>
      </c>
      <c r="Z37" s="25">
        <f t="shared" si="1"/>
        <v>133.91823600000134</v>
      </c>
      <c r="AA37" s="23">
        <f t="shared" si="2"/>
        <v>0.99223098135500243</v>
      </c>
      <c r="AB37" s="31" t="s">
        <v>93</v>
      </c>
      <c r="AC37" s="30"/>
    </row>
    <row r="38" spans="1:29" s="26" customFormat="1" ht="60.95" customHeight="1">
      <c r="A38" s="11">
        <v>13</v>
      </c>
      <c r="B38" s="11" t="s">
        <v>94</v>
      </c>
      <c r="C38" s="12" t="s">
        <v>95</v>
      </c>
      <c r="D38" s="11" t="s">
        <v>34</v>
      </c>
      <c r="E38" s="12" t="s">
        <v>96</v>
      </c>
      <c r="F38" s="13">
        <v>1336</v>
      </c>
      <c r="G38" s="13">
        <f t="shared" si="3"/>
        <v>1276.083971</v>
      </c>
      <c r="H38" s="13">
        <v>1276.083971</v>
      </c>
      <c r="I38" s="13">
        <f t="shared" ref="I38:Y38" si="9">SUM(I39:I42)</f>
        <v>0</v>
      </c>
      <c r="J38" s="13">
        <f t="shared" si="9"/>
        <v>0</v>
      </c>
      <c r="K38" s="13">
        <f t="shared" si="9"/>
        <v>0</v>
      </c>
      <c r="L38" s="13">
        <f t="shared" si="9"/>
        <v>0</v>
      </c>
      <c r="M38" s="13">
        <f t="shared" si="9"/>
        <v>54.422588999999995</v>
      </c>
      <c r="N38" s="13">
        <f t="shared" si="9"/>
        <v>0</v>
      </c>
      <c r="O38" s="13">
        <f t="shared" si="9"/>
        <v>0</v>
      </c>
      <c r="P38" s="13">
        <f t="shared" si="9"/>
        <v>0</v>
      </c>
      <c r="Q38" s="13">
        <f t="shared" si="9"/>
        <v>0</v>
      </c>
      <c r="R38" s="13">
        <f t="shared" si="9"/>
        <v>755.79546899999991</v>
      </c>
      <c r="S38" s="13">
        <f t="shared" si="9"/>
        <v>220.98474999999999</v>
      </c>
      <c r="T38" s="13">
        <f t="shared" si="9"/>
        <v>13.4895</v>
      </c>
      <c r="U38" s="13">
        <f t="shared" si="9"/>
        <v>191.04540499999999</v>
      </c>
      <c r="V38" s="13">
        <f t="shared" si="9"/>
        <v>25.428739999999998</v>
      </c>
      <c r="W38" s="13">
        <f t="shared" si="9"/>
        <v>0</v>
      </c>
      <c r="X38" s="13">
        <f t="shared" si="9"/>
        <v>42.644441999999998</v>
      </c>
      <c r="Y38" s="32">
        <f t="shared" si="9"/>
        <v>1249.3883060000003</v>
      </c>
      <c r="Z38" s="25">
        <f t="shared" si="1"/>
        <v>26.695664999999735</v>
      </c>
      <c r="AA38" s="23">
        <f t="shared" si="2"/>
        <v>0.97908000914776816</v>
      </c>
      <c r="AB38" s="31" t="s">
        <v>97</v>
      </c>
      <c r="AC38" s="30"/>
    </row>
    <row r="39" spans="1:29" s="26" customFormat="1" ht="60.95" customHeight="1">
      <c r="A39" s="11"/>
      <c r="B39" s="11"/>
      <c r="C39" s="12" t="s">
        <v>46</v>
      </c>
      <c r="D39" s="11"/>
      <c r="E39" s="12"/>
      <c r="F39" s="13"/>
      <c r="G39" s="13">
        <f t="shared" si="3"/>
        <v>160</v>
      </c>
      <c r="H39" s="13">
        <v>160</v>
      </c>
      <c r="I39" s="13"/>
      <c r="J39" s="13"/>
      <c r="K39" s="13"/>
      <c r="L39" s="13"/>
      <c r="M39" s="17">
        <v>8.7791300000000003</v>
      </c>
      <c r="N39" s="17"/>
      <c r="O39" s="17"/>
      <c r="P39" s="17"/>
      <c r="Q39" s="17"/>
      <c r="R39" s="17">
        <f>44.99881+43.89541</f>
        <v>88.89421999999999</v>
      </c>
      <c r="S39" s="17"/>
      <c r="T39" s="17"/>
      <c r="U39" s="17">
        <v>46.355409999999999</v>
      </c>
      <c r="V39" s="17">
        <v>8.7791300000000003</v>
      </c>
      <c r="W39" s="17"/>
      <c r="X39" s="17">
        <v>7.315817</v>
      </c>
      <c r="Y39" s="15">
        <f t="shared" ref="Y39:Y44" si="10">SUM(N39:X39)</f>
        <v>151.34457700000002</v>
      </c>
      <c r="Z39" s="25">
        <f t="shared" si="1"/>
        <v>8.6554229999999848</v>
      </c>
      <c r="AA39" s="23">
        <f t="shared" si="2"/>
        <v>0.94590360625000014</v>
      </c>
      <c r="AB39" s="31"/>
      <c r="AC39" s="30"/>
    </row>
    <row r="40" spans="1:29" s="26" customFormat="1" ht="60.95" customHeight="1">
      <c r="A40" s="11"/>
      <c r="B40" s="11"/>
      <c r="C40" s="12" t="s">
        <v>48</v>
      </c>
      <c r="D40" s="11"/>
      <c r="E40" s="12"/>
      <c r="F40" s="13"/>
      <c r="G40" s="13">
        <f t="shared" si="3"/>
        <v>398</v>
      </c>
      <c r="H40" s="13">
        <v>398</v>
      </c>
      <c r="I40" s="13"/>
      <c r="J40" s="13"/>
      <c r="K40" s="13"/>
      <c r="L40" s="13"/>
      <c r="M40" s="17">
        <v>25.694644</v>
      </c>
      <c r="N40" s="17"/>
      <c r="O40" s="17"/>
      <c r="P40" s="17"/>
      <c r="Q40" s="17"/>
      <c r="R40" s="17">
        <f>115.087+113.087</f>
        <v>228.17400000000001</v>
      </c>
      <c r="S40" s="17">
        <v>119.35169999999999</v>
      </c>
      <c r="T40" s="17"/>
      <c r="U40" s="17">
        <v>18.847799999999999</v>
      </c>
      <c r="V40" s="17"/>
      <c r="W40" s="17"/>
      <c r="X40" s="17">
        <v>25.694884999999999</v>
      </c>
      <c r="Y40" s="15">
        <f t="shared" si="10"/>
        <v>392.06838500000003</v>
      </c>
      <c r="Z40" s="25">
        <f t="shared" si="1"/>
        <v>5.9316149999999652</v>
      </c>
      <c r="AA40" s="23">
        <f t="shared" si="2"/>
        <v>0.98509644472361813</v>
      </c>
      <c r="AB40" s="31"/>
      <c r="AC40" s="30"/>
    </row>
    <row r="41" spans="1:29" s="26" customFormat="1" ht="60.95" customHeight="1">
      <c r="A41" s="11"/>
      <c r="B41" s="11"/>
      <c r="C41" s="12" t="s">
        <v>49</v>
      </c>
      <c r="D41" s="11"/>
      <c r="E41" s="12"/>
      <c r="F41" s="13"/>
      <c r="G41" s="13">
        <f t="shared" si="3"/>
        <v>398</v>
      </c>
      <c r="H41" s="13">
        <v>398</v>
      </c>
      <c r="I41" s="13"/>
      <c r="J41" s="13"/>
      <c r="K41" s="13"/>
      <c r="L41" s="13"/>
      <c r="M41" s="17">
        <v>10.048814999999999</v>
      </c>
      <c r="N41" s="17"/>
      <c r="O41" s="17"/>
      <c r="P41" s="17"/>
      <c r="Q41" s="17"/>
      <c r="R41" s="17">
        <v>170.12010000000001</v>
      </c>
      <c r="S41" s="17">
        <v>101.63305</v>
      </c>
      <c r="T41" s="17"/>
      <c r="U41" s="17">
        <f>33.49605+16.748025</f>
        <v>50.244074999999995</v>
      </c>
      <c r="V41" s="17">
        <v>6.6992099999999999</v>
      </c>
      <c r="W41" s="17"/>
      <c r="X41" s="17"/>
      <c r="Y41" s="15">
        <f t="shared" si="10"/>
        <v>328.69643500000001</v>
      </c>
      <c r="Z41" s="25">
        <f t="shared" si="1"/>
        <v>69.303564999999992</v>
      </c>
      <c r="AA41" s="23">
        <f t="shared" si="2"/>
        <v>0.8258704396984925</v>
      </c>
      <c r="AB41" s="31"/>
      <c r="AC41" s="30"/>
    </row>
    <row r="42" spans="1:29" s="26" customFormat="1" ht="60.95" customHeight="1">
      <c r="A42" s="11"/>
      <c r="B42" s="11"/>
      <c r="C42" s="12" t="s">
        <v>50</v>
      </c>
      <c r="D42" s="11"/>
      <c r="E42" s="12"/>
      <c r="F42" s="13"/>
      <c r="G42" s="13">
        <f t="shared" si="3"/>
        <v>380</v>
      </c>
      <c r="H42" s="13">
        <v>380</v>
      </c>
      <c r="I42" s="13"/>
      <c r="J42" s="13"/>
      <c r="K42" s="13"/>
      <c r="L42" s="13"/>
      <c r="M42" s="17">
        <v>9.9</v>
      </c>
      <c r="N42" s="17"/>
      <c r="O42" s="17"/>
      <c r="P42" s="17"/>
      <c r="Q42" s="17"/>
      <c r="R42" s="17">
        <f>99.504839+169.10231</f>
        <v>268.60714899999999</v>
      </c>
      <c r="S42" s="17"/>
      <c r="T42" s="17">
        <v>13.4895</v>
      </c>
      <c r="U42" s="17">
        <v>75.598119999999994</v>
      </c>
      <c r="V42" s="17">
        <v>9.9504000000000001</v>
      </c>
      <c r="W42" s="17"/>
      <c r="X42" s="17">
        <f>9.63374</f>
        <v>9.6337399999999995</v>
      </c>
      <c r="Y42" s="15">
        <f t="shared" si="10"/>
        <v>377.278909</v>
      </c>
      <c r="Z42" s="25">
        <f t="shared" si="1"/>
        <v>2.7210910000000013</v>
      </c>
      <c r="AA42" s="23">
        <f t="shared" si="2"/>
        <v>0.99283923421052633</v>
      </c>
      <c r="AB42" s="31"/>
      <c r="AC42" s="30"/>
    </row>
    <row r="43" spans="1:29" s="26" customFormat="1" ht="51" customHeight="1">
      <c r="A43" s="11">
        <v>14</v>
      </c>
      <c r="B43" s="11" t="s">
        <v>98</v>
      </c>
      <c r="C43" s="12" t="s">
        <v>99</v>
      </c>
      <c r="D43" s="11" t="s">
        <v>100</v>
      </c>
      <c r="E43" s="12" t="s">
        <v>101</v>
      </c>
      <c r="F43" s="13">
        <v>1504.8</v>
      </c>
      <c r="G43" s="13">
        <f t="shared" si="3"/>
        <v>1504.8</v>
      </c>
      <c r="H43" s="13">
        <v>1504.8</v>
      </c>
      <c r="I43" s="13"/>
      <c r="J43" s="13"/>
      <c r="K43" s="13"/>
      <c r="L43" s="13"/>
      <c r="M43" s="17">
        <v>125.4</v>
      </c>
      <c r="N43" s="17"/>
      <c r="O43" s="17">
        <v>376.2</v>
      </c>
      <c r="P43" s="17">
        <v>125.4</v>
      </c>
      <c r="Q43" s="17">
        <v>125.4</v>
      </c>
      <c r="R43" s="17">
        <v>125.4</v>
      </c>
      <c r="S43" s="17">
        <f>125.4+125.4</f>
        <v>250.8</v>
      </c>
      <c r="T43" s="17"/>
      <c r="U43" s="17">
        <f>125.4+125.4</f>
        <v>250.8</v>
      </c>
      <c r="V43" s="17">
        <v>125.4</v>
      </c>
      <c r="W43" s="17">
        <v>125.4</v>
      </c>
      <c r="X43" s="17"/>
      <c r="Y43" s="15">
        <f t="shared" si="10"/>
        <v>1504.8000000000002</v>
      </c>
      <c r="Z43" s="25">
        <f t="shared" si="1"/>
        <v>0</v>
      </c>
      <c r="AA43" s="23">
        <f t="shared" si="2"/>
        <v>1.0000000000000002</v>
      </c>
      <c r="AB43" s="31" t="s">
        <v>79</v>
      </c>
      <c r="AC43" s="30"/>
    </row>
    <row r="44" spans="1:29" s="26" customFormat="1" ht="77.099999999999994" customHeight="1">
      <c r="A44" s="11">
        <v>15</v>
      </c>
      <c r="B44" s="11" t="s">
        <v>102</v>
      </c>
      <c r="C44" s="12" t="s">
        <v>103</v>
      </c>
      <c r="D44" s="11" t="s">
        <v>34</v>
      </c>
      <c r="E44" s="12" t="s">
        <v>104</v>
      </c>
      <c r="F44" s="13">
        <v>4300</v>
      </c>
      <c r="G44" s="13">
        <f t="shared" si="3"/>
        <v>3883.5162679999999</v>
      </c>
      <c r="H44" s="13">
        <v>3883.5162679999999</v>
      </c>
      <c r="I44" s="13"/>
      <c r="J44" s="13"/>
      <c r="K44" s="13"/>
      <c r="L44" s="13"/>
      <c r="M44" s="17">
        <v>500</v>
      </c>
      <c r="N44" s="17"/>
      <c r="O44" s="17"/>
      <c r="P44" s="17"/>
      <c r="Q44" s="17"/>
      <c r="R44" s="17">
        <f>9.6+6</f>
        <v>15.6</v>
      </c>
      <c r="S44" s="17"/>
      <c r="T44" s="17"/>
      <c r="U44" s="17">
        <f>1232.379439+1870.334613</f>
        <v>3102.7140520000003</v>
      </c>
      <c r="V44" s="17">
        <v>300.50636600000001</v>
      </c>
      <c r="W44" s="17"/>
      <c r="X44" s="17">
        <v>464.69585000000001</v>
      </c>
      <c r="Y44" s="15">
        <f t="shared" si="10"/>
        <v>3883.5162680000003</v>
      </c>
      <c r="Z44" s="25">
        <f t="shared" si="1"/>
        <v>0</v>
      </c>
      <c r="AA44" s="23">
        <f t="shared" si="2"/>
        <v>1.0000000000000002</v>
      </c>
      <c r="AB44" s="31" t="s">
        <v>97</v>
      </c>
      <c r="AC44" s="30"/>
    </row>
    <row r="45" spans="1:29" s="26" customFormat="1" ht="68.099999999999994" customHeight="1">
      <c r="A45" s="11">
        <v>16</v>
      </c>
      <c r="B45" s="11" t="s">
        <v>105</v>
      </c>
      <c r="C45" s="12" t="s">
        <v>106</v>
      </c>
      <c r="D45" s="11" t="s">
        <v>107</v>
      </c>
      <c r="E45" s="12" t="s">
        <v>108</v>
      </c>
      <c r="F45" s="13">
        <v>11012.615</v>
      </c>
      <c r="G45" s="13">
        <f t="shared" si="3"/>
        <v>6356.4363030000004</v>
      </c>
      <c r="H45" s="13">
        <f>4167.91945</f>
        <v>4167.9194500000003</v>
      </c>
      <c r="I45" s="39">
        <f>2043.75+290.43+8.46+18.53-172.653147</f>
        <v>2188.5168530000001</v>
      </c>
      <c r="J45" s="13">
        <f t="shared" ref="J45:Y45" si="11">SUM(J46:J56)</f>
        <v>0</v>
      </c>
      <c r="K45" s="13">
        <f t="shared" si="11"/>
        <v>0</v>
      </c>
      <c r="L45" s="13">
        <f t="shared" si="11"/>
        <v>0</v>
      </c>
      <c r="M45" s="13">
        <f t="shared" si="11"/>
        <v>555.96214500000008</v>
      </c>
      <c r="N45" s="13">
        <f t="shared" si="11"/>
        <v>0</v>
      </c>
      <c r="O45" s="13">
        <f t="shared" si="11"/>
        <v>0</v>
      </c>
      <c r="P45" s="13">
        <f t="shared" si="11"/>
        <v>0</v>
      </c>
      <c r="Q45" s="13">
        <f t="shared" si="11"/>
        <v>0</v>
      </c>
      <c r="R45" s="13">
        <f t="shared" si="11"/>
        <v>495.91794900000002</v>
      </c>
      <c r="S45" s="13">
        <f t="shared" si="11"/>
        <v>2170.2091589999995</v>
      </c>
      <c r="T45" s="13">
        <f t="shared" si="11"/>
        <v>647.73926099999994</v>
      </c>
      <c r="U45" s="13">
        <f t="shared" si="11"/>
        <v>1758.825243</v>
      </c>
      <c r="V45" s="13">
        <f t="shared" si="11"/>
        <v>500.64073200000001</v>
      </c>
      <c r="W45" s="13">
        <f t="shared" si="11"/>
        <v>51.8093</v>
      </c>
      <c r="X45" s="13">
        <f t="shared" si="11"/>
        <v>586.40539199999989</v>
      </c>
      <c r="Y45" s="13">
        <f t="shared" si="11"/>
        <v>6211.547035999999</v>
      </c>
      <c r="Z45" s="25">
        <f t="shared" si="1"/>
        <v>144.88926700000138</v>
      </c>
      <c r="AA45" s="23">
        <f t="shared" si="2"/>
        <v>0.97720589649712697</v>
      </c>
      <c r="AB45" s="31" t="s">
        <v>109</v>
      </c>
      <c r="AC45" s="11"/>
    </row>
    <row r="46" spans="1:29" s="26" customFormat="1" ht="68.099999999999994" customHeight="1">
      <c r="A46" s="11"/>
      <c r="B46" s="11"/>
      <c r="C46" s="12" t="s">
        <v>41</v>
      </c>
      <c r="D46" s="11"/>
      <c r="E46" s="12"/>
      <c r="F46" s="13"/>
      <c r="G46" s="13">
        <f t="shared" si="3"/>
        <v>985.84209999999996</v>
      </c>
      <c r="H46" s="13">
        <f>162.75+75+249.2021</f>
        <v>486.95209999999997</v>
      </c>
      <c r="I46" s="13">
        <f>200+298.89</f>
        <v>498.89</v>
      </c>
      <c r="J46" s="13"/>
      <c r="K46" s="13"/>
      <c r="L46" s="13"/>
      <c r="M46" s="17">
        <v>260</v>
      </c>
      <c r="N46" s="17"/>
      <c r="O46" s="17"/>
      <c r="P46" s="17"/>
      <c r="Q46" s="17"/>
      <c r="R46" s="17">
        <f>0.7+8.973+16.7956</f>
        <v>26.468600000000002</v>
      </c>
      <c r="S46" s="17">
        <v>355.90897000000001</v>
      </c>
      <c r="T46" s="17">
        <v>122.949</v>
      </c>
      <c r="U46" s="17">
        <f>196.2231+17.69</f>
        <v>213.91309999999999</v>
      </c>
      <c r="V46" s="17">
        <v>264.35758700000002</v>
      </c>
      <c r="W46" s="17"/>
      <c r="X46" s="17">
        <v>-4.9460899999999999</v>
      </c>
      <c r="Y46" s="15">
        <f t="shared" ref="Y46:Y83" si="12">SUM(N46:X46)</f>
        <v>978.65116699999987</v>
      </c>
      <c r="Z46" s="25">
        <f t="shared" si="1"/>
        <v>7.1909330000000864</v>
      </c>
      <c r="AA46" s="23">
        <f t="shared" si="2"/>
        <v>0.99270579639477752</v>
      </c>
      <c r="AB46" s="31"/>
      <c r="AC46" s="30"/>
    </row>
    <row r="47" spans="1:29" s="26" customFormat="1" ht="68.099999999999994" customHeight="1">
      <c r="A47" s="11"/>
      <c r="B47" s="11"/>
      <c r="C47" s="12" t="s">
        <v>42</v>
      </c>
      <c r="D47" s="11"/>
      <c r="E47" s="12"/>
      <c r="F47" s="13">
        <f>1292.230653+404.262064</f>
        <v>1696.4927170000001</v>
      </c>
      <c r="G47" s="13">
        <f t="shared" si="3"/>
        <v>1588.4948889999998</v>
      </c>
      <c r="H47" s="13">
        <f>58.1+1161.864889+280</f>
        <v>1499.9648889999999</v>
      </c>
      <c r="I47" s="13">
        <f>70+18.53</f>
        <v>88.53</v>
      </c>
      <c r="J47" s="13"/>
      <c r="K47" s="13"/>
      <c r="L47" s="13"/>
      <c r="M47" s="17">
        <v>121.8</v>
      </c>
      <c r="N47" s="17"/>
      <c r="O47" s="17"/>
      <c r="P47" s="17"/>
      <c r="Q47" s="17"/>
      <c r="R47" s="17">
        <v>7.6447669999999999</v>
      </c>
      <c r="S47" s="17">
        <v>75.976175999999995</v>
      </c>
      <c r="T47" s="17">
        <f>44.479057</f>
        <v>44.479056999999997</v>
      </c>
      <c r="U47" s="17">
        <f>527.140603+514.70449</f>
        <v>1041.8450929999999</v>
      </c>
      <c r="V47" s="17">
        <f>114.785473+7.5</f>
        <v>122.285473</v>
      </c>
      <c r="W47" s="17"/>
      <c r="X47" s="17">
        <f>135.452484+264.720295</f>
        <v>400.17277899999999</v>
      </c>
      <c r="Y47" s="15">
        <f t="shared" si="12"/>
        <v>1692.4033449999997</v>
      </c>
      <c r="Z47" s="25">
        <f t="shared" si="1"/>
        <v>-103.90845599999989</v>
      </c>
      <c r="AA47" s="23">
        <f t="shared" si="2"/>
        <v>1.0654131509767797</v>
      </c>
      <c r="AB47" s="31"/>
      <c r="AC47" s="30"/>
    </row>
    <row r="48" spans="1:29" s="26" customFormat="1" ht="68.099999999999994" customHeight="1">
      <c r="A48" s="11"/>
      <c r="B48" s="11"/>
      <c r="C48" s="12" t="s">
        <v>44</v>
      </c>
      <c r="D48" s="11"/>
      <c r="E48" s="12"/>
      <c r="F48" s="13"/>
      <c r="G48" s="13">
        <f t="shared" si="3"/>
        <v>619.88</v>
      </c>
      <c r="H48" s="13">
        <f>159.88+300</f>
        <v>459.88</v>
      </c>
      <c r="I48" s="13">
        <v>160</v>
      </c>
      <c r="J48" s="13"/>
      <c r="K48" s="13"/>
      <c r="L48" s="13"/>
      <c r="M48" s="17">
        <v>30.793441000000001</v>
      </c>
      <c r="N48" s="17"/>
      <c r="O48" s="17"/>
      <c r="P48" s="17"/>
      <c r="Q48" s="17"/>
      <c r="R48" s="17">
        <f>13.185+22.5</f>
        <v>35.685000000000002</v>
      </c>
      <c r="S48" s="17">
        <v>465.519946</v>
      </c>
      <c r="T48" s="17">
        <v>25.559443999999999</v>
      </c>
      <c r="U48" s="17">
        <v>22.617436000000001</v>
      </c>
      <c r="V48" s="17"/>
      <c r="W48" s="17"/>
      <c r="X48" s="17">
        <f>5.234+25.559437</f>
        <v>30.793436999999997</v>
      </c>
      <c r="Y48" s="15">
        <f t="shared" si="12"/>
        <v>580.17526300000009</v>
      </c>
      <c r="Z48" s="25">
        <f t="shared" si="1"/>
        <v>39.704736999999909</v>
      </c>
      <c r="AA48" s="23">
        <f t="shared" si="2"/>
        <v>0.93594770439439912</v>
      </c>
      <c r="AB48" s="31"/>
      <c r="AC48" s="30"/>
    </row>
    <row r="49" spans="1:29" s="26" customFormat="1" ht="68.099999999999994" customHeight="1">
      <c r="A49" s="11"/>
      <c r="B49" s="11"/>
      <c r="C49" s="12" t="s">
        <v>45</v>
      </c>
      <c r="D49" s="11"/>
      <c r="E49" s="12"/>
      <c r="F49" s="13"/>
      <c r="G49" s="13">
        <f t="shared" si="3"/>
        <v>605.80801100000008</v>
      </c>
      <c r="H49" s="13">
        <f>155.875+200+49.933011</f>
        <v>405.80801100000002</v>
      </c>
      <c r="I49" s="13">
        <v>200</v>
      </c>
      <c r="J49" s="13"/>
      <c r="K49" s="13"/>
      <c r="L49" s="13"/>
      <c r="M49" s="17">
        <f>6.57897+28.1162</f>
        <v>34.695169999999997</v>
      </c>
      <c r="N49" s="17"/>
      <c r="O49" s="17"/>
      <c r="P49" s="17"/>
      <c r="Q49" s="17"/>
      <c r="R49" s="17">
        <f>3.5+13.077</f>
        <v>16.576999999999998</v>
      </c>
      <c r="S49" s="17">
        <f>131.69373+30.9968</f>
        <v>162.69053</v>
      </c>
      <c r="T49" s="17">
        <f>188.491988+14.79174</f>
        <v>203.283728</v>
      </c>
      <c r="U49" s="17">
        <f>35.283349+2.5</f>
        <v>37.783349000000001</v>
      </c>
      <c r="V49" s="17">
        <v>34.695169999999997</v>
      </c>
      <c r="W49" s="17"/>
      <c r="X49" s="17">
        <f>7.028358+16.308583+57.51</f>
        <v>80.846941000000001</v>
      </c>
      <c r="Y49" s="15">
        <f t="shared" si="12"/>
        <v>535.87671799999998</v>
      </c>
      <c r="Z49" s="25">
        <f t="shared" si="1"/>
        <v>69.931293000000096</v>
      </c>
      <c r="AA49" s="23">
        <f t="shared" si="2"/>
        <v>0.88456525544360942</v>
      </c>
      <c r="AB49" s="31"/>
      <c r="AC49" s="30"/>
    </row>
    <row r="50" spans="1:29" s="26" customFormat="1" ht="68.099999999999994" customHeight="1">
      <c r="A50" s="11"/>
      <c r="B50" s="11"/>
      <c r="C50" s="12" t="s">
        <v>46</v>
      </c>
      <c r="D50" s="11"/>
      <c r="E50" s="12"/>
      <c r="F50" s="13"/>
      <c r="G50" s="13">
        <f t="shared" si="3"/>
        <v>133.32</v>
      </c>
      <c r="H50" s="13">
        <v>63.32</v>
      </c>
      <c r="I50" s="13">
        <v>70</v>
      </c>
      <c r="J50" s="13"/>
      <c r="K50" s="13"/>
      <c r="L50" s="13"/>
      <c r="M50" s="17"/>
      <c r="N50" s="17"/>
      <c r="O50" s="17"/>
      <c r="P50" s="17"/>
      <c r="Q50" s="17"/>
      <c r="R50" s="17">
        <f>10.726+4</f>
        <v>14.726000000000001</v>
      </c>
      <c r="S50" s="17"/>
      <c r="T50" s="17"/>
      <c r="U50" s="17"/>
      <c r="V50" s="17"/>
      <c r="W50" s="17"/>
      <c r="X50" s="17">
        <v>2.8167629999999999</v>
      </c>
      <c r="Y50" s="15">
        <f t="shared" si="12"/>
        <v>17.542763000000001</v>
      </c>
      <c r="Z50" s="25">
        <f t="shared" si="1"/>
        <v>115.77723699999999</v>
      </c>
      <c r="AA50" s="23">
        <f t="shared" si="2"/>
        <v>0.13158388088808881</v>
      </c>
      <c r="AB50" s="31"/>
      <c r="AC50" s="30"/>
    </row>
    <row r="51" spans="1:29" s="26" customFormat="1" ht="68.099999999999994" customHeight="1">
      <c r="A51" s="11"/>
      <c r="B51" s="11"/>
      <c r="C51" s="12" t="s">
        <v>47</v>
      </c>
      <c r="D51" s="11"/>
      <c r="E51" s="12"/>
      <c r="F51" s="13"/>
      <c r="G51" s="13">
        <f t="shared" si="3"/>
        <v>484.9</v>
      </c>
      <c r="H51" s="13">
        <v>184.9</v>
      </c>
      <c r="I51" s="13">
        <v>300</v>
      </c>
      <c r="J51" s="13"/>
      <c r="K51" s="13"/>
      <c r="L51" s="13"/>
      <c r="M51" s="17">
        <v>14</v>
      </c>
      <c r="N51" s="17"/>
      <c r="O51" s="17"/>
      <c r="P51" s="17"/>
      <c r="Q51" s="17"/>
      <c r="R51" s="17">
        <f>6.8+18.3247+30.5411</f>
        <v>55.665800000000004</v>
      </c>
      <c r="S51" s="17">
        <v>230.9992</v>
      </c>
      <c r="T51" s="17"/>
      <c r="U51" s="17">
        <v>21.5581</v>
      </c>
      <c r="V51" s="17">
        <v>15.0907</v>
      </c>
      <c r="W51" s="17"/>
      <c r="X51" s="17">
        <v>25.581980000000001</v>
      </c>
      <c r="Y51" s="15">
        <f t="shared" si="12"/>
        <v>348.89578000000006</v>
      </c>
      <c r="Z51" s="25">
        <f t="shared" si="1"/>
        <v>136.00421999999992</v>
      </c>
      <c r="AA51" s="23">
        <f t="shared" si="2"/>
        <v>0.71952109713342971</v>
      </c>
      <c r="AB51" s="31"/>
      <c r="AC51" s="30"/>
    </row>
    <row r="52" spans="1:29" s="26" customFormat="1" ht="68.099999999999994" customHeight="1">
      <c r="A52" s="11"/>
      <c r="B52" s="11"/>
      <c r="C52" s="12" t="s">
        <v>48</v>
      </c>
      <c r="D52" s="11"/>
      <c r="E52" s="12"/>
      <c r="F52" s="13"/>
      <c r="G52" s="13">
        <f t="shared" si="3"/>
        <v>207.89</v>
      </c>
      <c r="H52" s="13">
        <v>57.89</v>
      </c>
      <c r="I52" s="13">
        <v>150</v>
      </c>
      <c r="J52" s="13"/>
      <c r="K52" s="13"/>
      <c r="L52" s="13"/>
      <c r="M52" s="17">
        <v>3.3548990000000001</v>
      </c>
      <c r="N52" s="17"/>
      <c r="O52" s="17"/>
      <c r="P52" s="17"/>
      <c r="Q52" s="17"/>
      <c r="R52" s="17">
        <f>1.85+52.55393+33.90262</f>
        <v>88.306550000000001</v>
      </c>
      <c r="S52" s="17">
        <v>72.259200000000007</v>
      </c>
      <c r="T52" s="17"/>
      <c r="U52" s="17">
        <v>8.3948999999999998</v>
      </c>
      <c r="V52" s="17"/>
      <c r="W52" s="17"/>
      <c r="X52" s="17">
        <v>5.0658070000000004</v>
      </c>
      <c r="Y52" s="15">
        <f t="shared" si="12"/>
        <v>174.02645700000002</v>
      </c>
      <c r="Z52" s="25">
        <f t="shared" si="1"/>
        <v>33.863542999999964</v>
      </c>
      <c r="AA52" s="23">
        <f t="shared" si="2"/>
        <v>0.83710836019048551</v>
      </c>
      <c r="AB52" s="31"/>
      <c r="AC52" s="30"/>
    </row>
    <row r="53" spans="1:29" s="26" customFormat="1" ht="68.099999999999994" customHeight="1">
      <c r="A53" s="11"/>
      <c r="B53" s="11"/>
      <c r="C53" s="12" t="s">
        <v>49</v>
      </c>
      <c r="D53" s="11"/>
      <c r="E53" s="12"/>
      <c r="F53" s="13"/>
      <c r="G53" s="13">
        <f t="shared" si="3"/>
        <v>852</v>
      </c>
      <c r="H53" s="13">
        <v>352</v>
      </c>
      <c r="I53" s="13">
        <v>500</v>
      </c>
      <c r="J53" s="13"/>
      <c r="K53" s="13"/>
      <c r="L53" s="13"/>
      <c r="M53" s="17">
        <v>22.762035000000001</v>
      </c>
      <c r="N53" s="17"/>
      <c r="O53" s="17"/>
      <c r="P53" s="17"/>
      <c r="Q53" s="17"/>
      <c r="R53" s="17">
        <v>28.2</v>
      </c>
      <c r="S53" s="17">
        <v>597.97164799999996</v>
      </c>
      <c r="T53" s="17"/>
      <c r="U53" s="17">
        <f>35.323577+37.417094+9.39837+6.26558+36.384969+9.39837+4.699185</f>
        <v>138.88714499999998</v>
      </c>
      <c r="V53" s="17">
        <v>15.174692</v>
      </c>
      <c r="W53" s="17"/>
      <c r="X53" s="17"/>
      <c r="Y53" s="15">
        <f t="shared" si="12"/>
        <v>780.23348499999997</v>
      </c>
      <c r="Z53" s="25">
        <f t="shared" si="1"/>
        <v>71.766515000000027</v>
      </c>
      <c r="AA53" s="23">
        <f t="shared" si="2"/>
        <v>0.91576700117370891</v>
      </c>
      <c r="AB53" s="31"/>
      <c r="AC53" s="30"/>
    </row>
    <row r="54" spans="1:29" s="26" customFormat="1" ht="68.099999999999994" customHeight="1">
      <c r="A54" s="11"/>
      <c r="B54" s="11"/>
      <c r="C54" s="12" t="s">
        <v>50</v>
      </c>
      <c r="D54" s="11"/>
      <c r="E54" s="12"/>
      <c r="F54" s="13"/>
      <c r="G54" s="13">
        <f t="shared" si="3"/>
        <v>304.8</v>
      </c>
      <c r="H54" s="13">
        <v>154.80000000000001</v>
      </c>
      <c r="I54" s="13">
        <v>150</v>
      </c>
      <c r="J54" s="13"/>
      <c r="K54" s="13"/>
      <c r="L54" s="13"/>
      <c r="M54" s="17">
        <v>10.7</v>
      </c>
      <c r="N54" s="17"/>
      <c r="O54" s="17"/>
      <c r="P54" s="17"/>
      <c r="Q54" s="17"/>
      <c r="R54" s="17">
        <f>5.1+124.7088</f>
        <v>129.80879999999999</v>
      </c>
      <c r="S54" s="17">
        <v>88.419929999999994</v>
      </c>
      <c r="T54" s="17"/>
      <c r="U54" s="17">
        <f>49.40602+2.4458</f>
        <v>51.851819999999996</v>
      </c>
      <c r="V54" s="17">
        <v>18.538250000000001</v>
      </c>
      <c r="W54" s="17"/>
      <c r="X54" s="17">
        <v>7.9884199999999996</v>
      </c>
      <c r="Y54" s="15">
        <f t="shared" si="12"/>
        <v>296.60721999999998</v>
      </c>
      <c r="Z54" s="25">
        <f t="shared" si="1"/>
        <v>8.1927800000000275</v>
      </c>
      <c r="AA54" s="23">
        <f t="shared" si="2"/>
        <v>0.97312080052493433</v>
      </c>
      <c r="AB54" s="31"/>
      <c r="AC54" s="30"/>
    </row>
    <row r="55" spans="1:29" s="26" customFormat="1" ht="68.099999999999994" customHeight="1">
      <c r="A55" s="11"/>
      <c r="B55" s="11"/>
      <c r="C55" s="12" t="s">
        <v>51</v>
      </c>
      <c r="D55" s="11"/>
      <c r="E55" s="12"/>
      <c r="F55" s="13"/>
      <c r="G55" s="13">
        <f t="shared" si="3"/>
        <v>688.36</v>
      </c>
      <c r="H55" s="13">
        <f>198.36+290</f>
        <v>488.36</v>
      </c>
      <c r="I55" s="13">
        <v>200</v>
      </c>
      <c r="J55" s="13"/>
      <c r="K55" s="13"/>
      <c r="L55" s="13"/>
      <c r="M55" s="17">
        <f>19.2933+21.9633</f>
        <v>41.256599999999999</v>
      </c>
      <c r="N55" s="17"/>
      <c r="O55" s="17"/>
      <c r="P55" s="17"/>
      <c r="Q55" s="17"/>
      <c r="R55" s="17">
        <f>2.48+16.7</f>
        <v>19.18</v>
      </c>
      <c r="S55" s="17">
        <f>78.9914</f>
        <v>78.991399999999999</v>
      </c>
      <c r="T55" s="17">
        <v>229.47499999999999</v>
      </c>
      <c r="U55" s="17">
        <v>221.9743</v>
      </c>
      <c r="V55" s="17">
        <v>21.9633</v>
      </c>
      <c r="W55" s="17">
        <v>51.8093</v>
      </c>
      <c r="X55" s="17">
        <v>22.682884999999999</v>
      </c>
      <c r="Y55" s="15">
        <f t="shared" si="12"/>
        <v>646.0761849999999</v>
      </c>
      <c r="Z55" s="25">
        <f t="shared" si="1"/>
        <v>42.283815000000118</v>
      </c>
      <c r="AA55" s="23">
        <f t="shared" si="2"/>
        <v>0.9385731085478527</v>
      </c>
      <c r="AC55" s="31"/>
    </row>
    <row r="56" spans="1:29" s="26" customFormat="1" ht="68.099999999999994" customHeight="1">
      <c r="A56" s="11"/>
      <c r="B56" s="11"/>
      <c r="C56" s="12" t="s">
        <v>52</v>
      </c>
      <c r="D56" s="11"/>
      <c r="E56" s="12"/>
      <c r="F56" s="13"/>
      <c r="G56" s="13">
        <f t="shared" si="3"/>
        <v>221.8</v>
      </c>
      <c r="H56" s="13">
        <f>43.05+135</f>
        <v>178.05</v>
      </c>
      <c r="I56" s="13">
        <v>43.75</v>
      </c>
      <c r="J56" s="13"/>
      <c r="K56" s="13"/>
      <c r="L56" s="13"/>
      <c r="M56" s="17">
        <f>8.1+8.5</f>
        <v>16.600000000000001</v>
      </c>
      <c r="N56" s="17"/>
      <c r="O56" s="17"/>
      <c r="P56" s="17"/>
      <c r="Q56" s="17"/>
      <c r="R56" s="17">
        <f>27.180432+12.521+19.68+14.274</f>
        <v>73.65543199999999</v>
      </c>
      <c r="S56" s="17">
        <f>25.1639+16.308259</f>
        <v>41.472159000000005</v>
      </c>
      <c r="T56" s="17">
        <v>21.993031999999999</v>
      </c>
      <c r="U56" s="17"/>
      <c r="V56" s="17">
        <v>8.5355600000000003</v>
      </c>
      <c r="W56" s="17"/>
      <c r="X56" s="17">
        <f>8.15413+7.24834</f>
        <v>15.402470000000001</v>
      </c>
      <c r="Y56" s="15">
        <f t="shared" si="12"/>
        <v>161.05865299999999</v>
      </c>
      <c r="Z56" s="25">
        <f t="shared" si="1"/>
        <v>60.741347000000019</v>
      </c>
      <c r="AA56" s="23">
        <f t="shared" si="2"/>
        <v>0.72614361136158689</v>
      </c>
      <c r="AB56" s="31" t="s">
        <v>110</v>
      </c>
      <c r="AC56" s="30"/>
    </row>
    <row r="57" spans="1:29" s="26" customFormat="1" ht="54" customHeight="1">
      <c r="A57" s="11">
        <v>17</v>
      </c>
      <c r="B57" s="11" t="s">
        <v>111</v>
      </c>
      <c r="C57" s="12" t="s">
        <v>112</v>
      </c>
      <c r="D57" s="11" t="s">
        <v>107</v>
      </c>
      <c r="E57" s="12" t="s">
        <v>113</v>
      </c>
      <c r="F57" s="13">
        <v>1790.37</v>
      </c>
      <c r="G57" s="13">
        <f t="shared" si="3"/>
        <v>2168.758636</v>
      </c>
      <c r="H57" s="13">
        <v>2168.758636</v>
      </c>
      <c r="I57" s="13"/>
      <c r="J57" s="13"/>
      <c r="K57" s="13"/>
      <c r="L57" s="13"/>
      <c r="M57" s="17">
        <v>570</v>
      </c>
      <c r="N57" s="17"/>
      <c r="O57" s="17"/>
      <c r="P57" s="17"/>
      <c r="Q57" s="17"/>
      <c r="R57" s="17">
        <f>8.97+127.60333+44.04346</f>
        <v>180.61679000000001</v>
      </c>
      <c r="S57" s="17">
        <v>441.08645000000001</v>
      </c>
      <c r="T57" s="17">
        <v>60.621200000000002</v>
      </c>
      <c r="U57" s="17">
        <f>1072.0534-489.3746+182.9993+20.25+30.37</f>
        <v>816.29810000000009</v>
      </c>
      <c r="V57" s="17">
        <v>327.92874</v>
      </c>
      <c r="W57" s="17"/>
      <c r="X57" s="17">
        <f>319.70377+19.713586</f>
        <v>339.41735600000004</v>
      </c>
      <c r="Y57" s="15">
        <f t="shared" si="12"/>
        <v>2165.9686360000005</v>
      </c>
      <c r="Z57" s="25">
        <f t="shared" si="1"/>
        <v>2.7899999999995089</v>
      </c>
      <c r="AA57" s="23">
        <f t="shared" si="2"/>
        <v>0.99871354979125515</v>
      </c>
      <c r="AB57" s="31" t="s">
        <v>109</v>
      </c>
      <c r="AC57" s="30"/>
    </row>
    <row r="58" spans="1:29" s="26" customFormat="1" ht="54" customHeight="1">
      <c r="A58" s="11">
        <v>18</v>
      </c>
      <c r="B58" s="11" t="s">
        <v>114</v>
      </c>
      <c r="C58" s="12" t="s">
        <v>115</v>
      </c>
      <c r="D58" s="11" t="s">
        <v>107</v>
      </c>
      <c r="E58" s="12" t="s">
        <v>116</v>
      </c>
      <c r="F58" s="13">
        <v>1983.51</v>
      </c>
      <c r="G58" s="13">
        <f t="shared" si="3"/>
        <v>1329.6209469999999</v>
      </c>
      <c r="H58" s="13">
        <v>1329.6209469999999</v>
      </c>
      <c r="I58" s="13"/>
      <c r="J58" s="13"/>
      <c r="K58" s="13"/>
      <c r="L58" s="13"/>
      <c r="M58" s="17">
        <f>42.8095+10.6</f>
        <v>53.409500000000001</v>
      </c>
      <c r="N58" s="17"/>
      <c r="O58" s="17"/>
      <c r="P58" s="17"/>
      <c r="Q58" s="17"/>
      <c r="R58" s="17">
        <f>13.08+154.15825+83.056018</f>
        <v>250.29426800000002</v>
      </c>
      <c r="S58" s="17">
        <v>267.9237</v>
      </c>
      <c r="T58" s="17"/>
      <c r="U58" s="17">
        <f>497.738388+153.376466</f>
        <v>651.11485399999992</v>
      </c>
      <c r="V58" s="17">
        <v>42.8095</v>
      </c>
      <c r="W58" s="17">
        <v>74.035899999999998</v>
      </c>
      <c r="X58" s="17">
        <v>43.442725000000003</v>
      </c>
      <c r="Y58" s="15">
        <f t="shared" si="12"/>
        <v>1329.6209470000001</v>
      </c>
      <c r="Z58" s="25">
        <f t="shared" si="1"/>
        <v>0</v>
      </c>
      <c r="AA58" s="23">
        <f t="shared" si="2"/>
        <v>1.0000000000000002</v>
      </c>
      <c r="AB58" s="31" t="s">
        <v>109</v>
      </c>
      <c r="AC58" s="30"/>
    </row>
    <row r="59" spans="1:29" s="26" customFormat="1" ht="54" customHeight="1">
      <c r="A59" s="11">
        <v>19</v>
      </c>
      <c r="B59" s="11" t="s">
        <v>117</v>
      </c>
      <c r="C59" s="12" t="s">
        <v>118</v>
      </c>
      <c r="D59" s="11" t="s">
        <v>119</v>
      </c>
      <c r="E59" s="12" t="s">
        <v>120</v>
      </c>
      <c r="F59" s="13">
        <v>2100</v>
      </c>
      <c r="G59" s="13">
        <f t="shared" si="3"/>
        <v>2500.8000000000002</v>
      </c>
      <c r="H59" s="13">
        <v>2500.8000000000002</v>
      </c>
      <c r="I59" s="13"/>
      <c r="J59" s="13"/>
      <c r="K59" s="13"/>
      <c r="L59" s="13"/>
      <c r="M59" s="17">
        <v>130</v>
      </c>
      <c r="N59" s="17"/>
      <c r="O59" s="17"/>
      <c r="P59" s="17">
        <f>431.4+221.4-0.9</f>
        <v>651.9</v>
      </c>
      <c r="Q59" s="17">
        <v>106.5</v>
      </c>
      <c r="R59" s="17">
        <v>24</v>
      </c>
      <c r="S59" s="17">
        <v>431.4</v>
      </c>
      <c r="T59" s="17">
        <f>-431.4+332.1</f>
        <v>-99.299999999999955</v>
      </c>
      <c r="U59" s="17">
        <f>371.7+397.8+531.3</f>
        <v>1300.8</v>
      </c>
      <c r="V59" s="17">
        <f>51.3+5.4</f>
        <v>56.699999999999996</v>
      </c>
      <c r="W59" s="17"/>
      <c r="X59" s="17">
        <v>28.8</v>
      </c>
      <c r="Y59" s="15">
        <f t="shared" si="12"/>
        <v>2500.8000000000002</v>
      </c>
      <c r="Z59" s="25">
        <f t="shared" si="1"/>
        <v>0</v>
      </c>
      <c r="AA59" s="23">
        <f t="shared" si="2"/>
        <v>1</v>
      </c>
      <c r="AB59" s="31" t="s">
        <v>121</v>
      </c>
      <c r="AC59" s="30"/>
    </row>
    <row r="60" spans="1:29" s="26" customFormat="1" ht="54" customHeight="1">
      <c r="A60" s="11">
        <v>20</v>
      </c>
      <c r="B60" s="11" t="s">
        <v>122</v>
      </c>
      <c r="C60" s="12" t="s">
        <v>123</v>
      </c>
      <c r="D60" s="11" t="s">
        <v>119</v>
      </c>
      <c r="E60" s="12" t="s">
        <v>124</v>
      </c>
      <c r="F60" s="13">
        <v>380.16</v>
      </c>
      <c r="G60" s="13">
        <f t="shared" si="3"/>
        <v>380.16</v>
      </c>
      <c r="H60" s="13">
        <v>380.16</v>
      </c>
      <c r="I60" s="13"/>
      <c r="J60" s="13"/>
      <c r="K60" s="13"/>
      <c r="L60" s="13"/>
      <c r="M60" s="17"/>
      <c r="N60" s="17"/>
      <c r="O60" s="17"/>
      <c r="P60" s="17"/>
      <c r="Q60" s="17"/>
      <c r="R60" s="17">
        <v>380.16</v>
      </c>
      <c r="S60" s="17"/>
      <c r="T60" s="17"/>
      <c r="U60" s="17"/>
      <c r="V60" s="17"/>
      <c r="W60" s="17"/>
      <c r="X60" s="17"/>
      <c r="Y60" s="15">
        <f t="shared" si="12"/>
        <v>380.16</v>
      </c>
      <c r="Z60" s="25">
        <f t="shared" si="1"/>
        <v>0</v>
      </c>
      <c r="AA60" s="23">
        <f t="shared" si="2"/>
        <v>1</v>
      </c>
      <c r="AB60" s="31" t="s">
        <v>125</v>
      </c>
      <c r="AC60" s="30"/>
    </row>
    <row r="61" spans="1:29" ht="48">
      <c r="A61" s="11">
        <v>21</v>
      </c>
      <c r="B61" s="31" t="s">
        <v>126</v>
      </c>
      <c r="C61" s="33" t="s">
        <v>127</v>
      </c>
      <c r="D61" s="33" t="s">
        <v>34</v>
      </c>
      <c r="E61" s="34" t="s">
        <v>128</v>
      </c>
      <c r="F61" s="17">
        <v>1000</v>
      </c>
      <c r="G61" s="13">
        <f t="shared" si="3"/>
        <v>989.55960000000005</v>
      </c>
      <c r="H61" s="17">
        <v>989.55960000000005</v>
      </c>
      <c r="I61" s="17"/>
      <c r="J61" s="17"/>
      <c r="K61" s="17"/>
      <c r="L61" s="17"/>
      <c r="M61" s="17">
        <v>281.64</v>
      </c>
      <c r="N61" s="17"/>
      <c r="O61" s="17"/>
      <c r="P61" s="17"/>
      <c r="Q61" s="17"/>
      <c r="R61" s="17"/>
      <c r="S61" s="17"/>
      <c r="T61" s="17"/>
      <c r="U61" s="17">
        <v>281.64</v>
      </c>
      <c r="V61" s="17"/>
      <c r="W61" s="17"/>
      <c r="X61" s="17">
        <v>637.96968000000004</v>
      </c>
      <c r="Y61" s="15">
        <f t="shared" si="12"/>
        <v>919.60968000000003</v>
      </c>
      <c r="Z61" s="25">
        <f t="shared" si="1"/>
        <v>69.94992000000002</v>
      </c>
      <c r="AA61" s="23">
        <f t="shared" si="2"/>
        <v>0.92931206973283875</v>
      </c>
      <c r="AB61" s="31" t="s">
        <v>129</v>
      </c>
      <c r="AC61" s="31"/>
    </row>
    <row r="62" spans="1:29" ht="32.1" customHeight="1">
      <c r="A62" s="11">
        <v>22</v>
      </c>
      <c r="B62" s="31" t="s">
        <v>130</v>
      </c>
      <c r="C62" s="33" t="s">
        <v>131</v>
      </c>
      <c r="D62" s="33" t="s">
        <v>100</v>
      </c>
      <c r="E62" s="34" t="s">
        <v>132</v>
      </c>
      <c r="F62" s="17">
        <v>259.2</v>
      </c>
      <c r="G62" s="13">
        <f t="shared" si="3"/>
        <v>259.2</v>
      </c>
      <c r="H62" s="17">
        <v>259.2</v>
      </c>
      <c r="I62" s="17"/>
      <c r="J62" s="17"/>
      <c r="K62" s="17"/>
      <c r="L62" s="17"/>
      <c r="M62" s="17">
        <v>51.84</v>
      </c>
      <c r="N62" s="17"/>
      <c r="O62" s="17"/>
      <c r="P62" s="17"/>
      <c r="Q62" s="17"/>
      <c r="R62" s="17"/>
      <c r="S62" s="17"/>
      <c r="T62" s="17"/>
      <c r="U62" s="17">
        <f t="shared" ref="U62:X62" si="13">SUM(U63:U74)</f>
        <v>155.51999999999998</v>
      </c>
      <c r="V62" s="17">
        <f t="shared" si="13"/>
        <v>38.232000000000014</v>
      </c>
      <c r="W62" s="17">
        <f t="shared" si="13"/>
        <v>47.304000000000016</v>
      </c>
      <c r="X62" s="17">
        <f t="shared" si="13"/>
        <v>18.143999999999998</v>
      </c>
      <c r="Y62" s="15">
        <f t="shared" si="12"/>
        <v>259.20000000000005</v>
      </c>
      <c r="Z62" s="25">
        <f t="shared" si="1"/>
        <v>0</v>
      </c>
      <c r="AA62" s="23">
        <f t="shared" si="2"/>
        <v>1.0000000000000002</v>
      </c>
      <c r="AB62" s="31" t="s">
        <v>109</v>
      </c>
      <c r="AC62" s="31"/>
    </row>
    <row r="63" spans="1:29" ht="32.1" customHeight="1">
      <c r="A63" s="11"/>
      <c r="B63" s="31"/>
      <c r="C63" s="33" t="s">
        <v>41</v>
      </c>
      <c r="D63" s="33"/>
      <c r="E63" s="34"/>
      <c r="F63" s="17">
        <v>19</v>
      </c>
      <c r="G63" s="13">
        <f t="shared" si="3"/>
        <v>15.39</v>
      </c>
      <c r="H63" s="17">
        <v>15.39</v>
      </c>
      <c r="I63" s="17"/>
      <c r="J63" s="17"/>
      <c r="K63" s="17"/>
      <c r="L63" s="17"/>
      <c r="M63" s="17">
        <f t="shared" ref="M63:M74" si="14">F63*1620/10000</f>
        <v>3.0779999999999998</v>
      </c>
      <c r="N63" s="17"/>
      <c r="O63" s="17"/>
      <c r="P63" s="17"/>
      <c r="Q63" s="17"/>
      <c r="R63" s="17"/>
      <c r="S63" s="17"/>
      <c r="T63" s="17"/>
      <c r="U63" s="17">
        <v>9.234</v>
      </c>
      <c r="V63" s="17">
        <v>3.0779999999999998</v>
      </c>
      <c r="W63" s="17">
        <v>3.0779999999999998</v>
      </c>
      <c r="X63" s="17"/>
      <c r="Y63" s="15">
        <f t="shared" si="12"/>
        <v>15.389999999999999</v>
      </c>
      <c r="Z63" s="25">
        <f t="shared" si="1"/>
        <v>0</v>
      </c>
      <c r="AA63" s="23">
        <f t="shared" si="2"/>
        <v>0.99999999999999989</v>
      </c>
      <c r="AB63" s="31"/>
      <c r="AC63" s="31"/>
    </row>
    <row r="64" spans="1:29" ht="32.1" customHeight="1">
      <c r="A64" s="11"/>
      <c r="B64" s="31"/>
      <c r="C64" s="33" t="s">
        <v>42</v>
      </c>
      <c r="D64" s="33"/>
      <c r="E64" s="34"/>
      <c r="F64" s="17">
        <v>27</v>
      </c>
      <c r="G64" s="13">
        <f t="shared" si="3"/>
        <v>21.87</v>
      </c>
      <c r="H64" s="17">
        <v>21.87</v>
      </c>
      <c r="I64" s="17"/>
      <c r="J64" s="17"/>
      <c r="K64" s="17"/>
      <c r="L64" s="17"/>
      <c r="M64" s="17">
        <f t="shared" si="14"/>
        <v>4.3739999999999997</v>
      </c>
      <c r="N64" s="17"/>
      <c r="O64" s="17"/>
      <c r="P64" s="17"/>
      <c r="Q64" s="17"/>
      <c r="R64" s="17"/>
      <c r="S64" s="17"/>
      <c r="T64" s="17"/>
      <c r="U64" s="17">
        <v>13.122</v>
      </c>
      <c r="V64" s="17">
        <v>4.3739999999999997</v>
      </c>
      <c r="W64" s="17">
        <v>4.3739999999999997</v>
      </c>
      <c r="X64" s="17"/>
      <c r="Y64" s="15">
        <f t="shared" si="12"/>
        <v>21.869999999999997</v>
      </c>
      <c r="Z64" s="25">
        <f t="shared" si="1"/>
        <v>0</v>
      </c>
      <c r="AA64" s="23">
        <f t="shared" si="2"/>
        <v>0.99999999999999989</v>
      </c>
      <c r="AB64" s="31"/>
      <c r="AC64" s="31"/>
    </row>
    <row r="65" spans="1:29" ht="32.1" customHeight="1">
      <c r="A65" s="11"/>
      <c r="B65" s="31"/>
      <c r="C65" s="33" t="s">
        <v>43</v>
      </c>
      <c r="D65" s="33"/>
      <c r="E65" s="34"/>
      <c r="F65" s="17">
        <v>38</v>
      </c>
      <c r="G65" s="13">
        <f t="shared" si="3"/>
        <v>30.78</v>
      </c>
      <c r="H65" s="17">
        <v>30.78</v>
      </c>
      <c r="I65" s="17"/>
      <c r="J65" s="17"/>
      <c r="K65" s="17"/>
      <c r="L65" s="17"/>
      <c r="M65" s="17">
        <f t="shared" si="14"/>
        <v>6.1559999999999997</v>
      </c>
      <c r="N65" s="17"/>
      <c r="O65" s="17"/>
      <c r="P65" s="17"/>
      <c r="Q65" s="17"/>
      <c r="R65" s="17"/>
      <c r="S65" s="17"/>
      <c r="T65" s="17"/>
      <c r="U65" s="17">
        <v>18.468</v>
      </c>
      <c r="V65" s="17">
        <v>6.1559999999999997</v>
      </c>
      <c r="W65" s="17">
        <v>6.1559999999999997</v>
      </c>
      <c r="X65" s="17"/>
      <c r="Y65" s="15">
        <f t="shared" si="12"/>
        <v>30.779999999999998</v>
      </c>
      <c r="Z65" s="25">
        <f t="shared" si="1"/>
        <v>0</v>
      </c>
      <c r="AA65" s="23">
        <f t="shared" si="2"/>
        <v>0.99999999999999989</v>
      </c>
      <c r="AB65" s="31"/>
      <c r="AC65" s="31"/>
    </row>
    <row r="66" spans="1:29" ht="32.1" customHeight="1">
      <c r="A66" s="11"/>
      <c r="B66" s="31"/>
      <c r="C66" s="33" t="s">
        <v>44</v>
      </c>
      <c r="D66" s="33"/>
      <c r="E66" s="34"/>
      <c r="F66" s="17">
        <v>36</v>
      </c>
      <c r="G66" s="13">
        <f t="shared" si="3"/>
        <v>29.16</v>
      </c>
      <c r="H66" s="17">
        <v>29.16</v>
      </c>
      <c r="I66" s="17"/>
      <c r="J66" s="17"/>
      <c r="K66" s="17"/>
      <c r="L66" s="17"/>
      <c r="M66" s="17">
        <f t="shared" si="14"/>
        <v>5.8319999999999999</v>
      </c>
      <c r="N66" s="17"/>
      <c r="O66" s="17"/>
      <c r="P66" s="17"/>
      <c r="Q66" s="17"/>
      <c r="R66" s="17"/>
      <c r="S66" s="17"/>
      <c r="T66" s="17"/>
      <c r="U66" s="17">
        <v>17.495999999999999</v>
      </c>
      <c r="V66" s="17">
        <v>5.8319999999999999</v>
      </c>
      <c r="W66" s="17">
        <v>5.8319999999999999</v>
      </c>
      <c r="X66" s="17"/>
      <c r="Y66" s="15">
        <f t="shared" si="12"/>
        <v>29.16</v>
      </c>
      <c r="Z66" s="25">
        <f t="shared" si="1"/>
        <v>0</v>
      </c>
      <c r="AA66" s="23">
        <f t="shared" si="2"/>
        <v>1</v>
      </c>
      <c r="AB66" s="31"/>
      <c r="AC66" s="31"/>
    </row>
    <row r="67" spans="1:29" ht="32.1" customHeight="1">
      <c r="A67" s="11"/>
      <c r="B67" s="31"/>
      <c r="C67" s="33" t="s">
        <v>45</v>
      </c>
      <c r="D67" s="33"/>
      <c r="E67" s="34"/>
      <c r="F67" s="17">
        <v>21</v>
      </c>
      <c r="G67" s="13">
        <f t="shared" si="3"/>
        <v>17.010000000000002</v>
      </c>
      <c r="H67" s="17">
        <v>17.010000000000002</v>
      </c>
      <c r="I67" s="17"/>
      <c r="J67" s="17"/>
      <c r="K67" s="17"/>
      <c r="L67" s="17"/>
      <c r="M67" s="17">
        <f t="shared" si="14"/>
        <v>3.4020000000000001</v>
      </c>
      <c r="N67" s="17"/>
      <c r="O67" s="17"/>
      <c r="P67" s="17"/>
      <c r="Q67" s="17"/>
      <c r="R67" s="17"/>
      <c r="S67" s="17"/>
      <c r="T67" s="17"/>
      <c r="U67" s="17">
        <v>10.206</v>
      </c>
      <c r="V67" s="17">
        <v>3.4020000000000001</v>
      </c>
      <c r="W67" s="17">
        <v>3.4020000000000001</v>
      </c>
      <c r="X67" s="17"/>
      <c r="Y67" s="15">
        <f t="shared" si="12"/>
        <v>17.010000000000002</v>
      </c>
      <c r="Z67" s="25">
        <f t="shared" si="1"/>
        <v>0</v>
      </c>
      <c r="AA67" s="23">
        <f t="shared" si="2"/>
        <v>1</v>
      </c>
      <c r="AB67" s="31"/>
      <c r="AC67" s="31"/>
    </row>
    <row r="68" spans="1:29" ht="32.1" customHeight="1">
      <c r="A68" s="11"/>
      <c r="B68" s="31"/>
      <c r="C68" s="33" t="s">
        <v>46</v>
      </c>
      <c r="D68" s="33"/>
      <c r="E68" s="34"/>
      <c r="F68" s="17">
        <v>22</v>
      </c>
      <c r="G68" s="13">
        <f t="shared" si="3"/>
        <v>17.82</v>
      </c>
      <c r="H68" s="17">
        <v>17.82</v>
      </c>
      <c r="I68" s="17"/>
      <c r="J68" s="17"/>
      <c r="K68" s="17"/>
      <c r="L68" s="17"/>
      <c r="M68" s="17">
        <f t="shared" si="14"/>
        <v>3.5640000000000001</v>
      </c>
      <c r="N68" s="17"/>
      <c r="O68" s="17"/>
      <c r="P68" s="17"/>
      <c r="Q68" s="17"/>
      <c r="R68" s="17"/>
      <c r="S68" s="17"/>
      <c r="T68" s="17"/>
      <c r="U68" s="17">
        <v>10.692</v>
      </c>
      <c r="V68" s="17">
        <v>3.5640000000000001</v>
      </c>
      <c r="W68" s="17">
        <v>3.5640000000000001</v>
      </c>
      <c r="X68" s="17"/>
      <c r="Y68" s="15">
        <f t="shared" si="12"/>
        <v>17.82</v>
      </c>
      <c r="Z68" s="25">
        <f t="shared" si="1"/>
        <v>0</v>
      </c>
      <c r="AA68" s="23">
        <f t="shared" si="2"/>
        <v>1</v>
      </c>
      <c r="AB68" s="31"/>
      <c r="AC68" s="31"/>
    </row>
    <row r="69" spans="1:29" ht="32.1" customHeight="1">
      <c r="A69" s="11"/>
      <c r="B69" s="31"/>
      <c r="C69" s="33" t="s">
        <v>47</v>
      </c>
      <c r="D69" s="33"/>
      <c r="E69" s="34"/>
      <c r="F69" s="17">
        <v>44</v>
      </c>
      <c r="G69" s="13">
        <f t="shared" si="3"/>
        <v>35.64</v>
      </c>
      <c r="H69" s="17">
        <v>35.64</v>
      </c>
      <c r="I69" s="17"/>
      <c r="J69" s="17"/>
      <c r="K69" s="17"/>
      <c r="L69" s="17"/>
      <c r="M69" s="17">
        <f t="shared" si="14"/>
        <v>7.1280000000000001</v>
      </c>
      <c r="N69" s="17"/>
      <c r="O69" s="17"/>
      <c r="P69" s="17"/>
      <c r="Q69" s="17"/>
      <c r="R69" s="17"/>
      <c r="S69" s="17"/>
      <c r="T69" s="17"/>
      <c r="U69" s="17">
        <v>21.384</v>
      </c>
      <c r="V69" s="17">
        <v>7.1280000000000001</v>
      </c>
      <c r="W69" s="17">
        <v>7.1280000000000001</v>
      </c>
      <c r="X69" s="17"/>
      <c r="Y69" s="15">
        <f t="shared" si="12"/>
        <v>35.64</v>
      </c>
      <c r="Z69" s="25">
        <f t="shared" ref="Z69:Z83" si="15">G69-Y69</f>
        <v>0</v>
      </c>
      <c r="AA69" s="23">
        <f t="shared" ref="AA69:AA83" si="16">Y69/G69</f>
        <v>1</v>
      </c>
      <c r="AB69" s="31"/>
      <c r="AC69" s="31"/>
    </row>
    <row r="70" spans="1:29" ht="32.1" customHeight="1">
      <c r="A70" s="11"/>
      <c r="B70" s="31"/>
      <c r="C70" s="33" t="s">
        <v>48</v>
      </c>
      <c r="D70" s="33"/>
      <c r="E70" s="34"/>
      <c r="F70" s="17">
        <v>50</v>
      </c>
      <c r="G70" s="13">
        <f t="shared" ref="G70:G83" si="17">SUM(H70:L70)</f>
        <v>40.5</v>
      </c>
      <c r="H70" s="17">
        <v>40.5</v>
      </c>
      <c r="I70" s="17"/>
      <c r="J70" s="17"/>
      <c r="K70" s="17"/>
      <c r="L70" s="17"/>
      <c r="M70" s="17">
        <f t="shared" si="14"/>
        <v>8.1</v>
      </c>
      <c r="N70" s="17"/>
      <c r="O70" s="17"/>
      <c r="P70" s="17"/>
      <c r="Q70" s="17"/>
      <c r="R70" s="17"/>
      <c r="S70" s="17"/>
      <c r="T70" s="17"/>
      <c r="U70" s="17">
        <v>24.3</v>
      </c>
      <c r="V70" s="17">
        <v>8.1</v>
      </c>
      <c r="W70" s="17">
        <v>8.1</v>
      </c>
      <c r="X70" s="17"/>
      <c r="Y70" s="15">
        <f t="shared" si="12"/>
        <v>40.5</v>
      </c>
      <c r="Z70" s="25">
        <f t="shared" si="15"/>
        <v>0</v>
      </c>
      <c r="AA70" s="23">
        <f t="shared" si="16"/>
        <v>1</v>
      </c>
      <c r="AB70" s="31"/>
      <c r="AC70" s="31"/>
    </row>
    <row r="71" spans="1:29" ht="32.1" customHeight="1">
      <c r="A71" s="11"/>
      <c r="B71" s="31"/>
      <c r="C71" s="33" t="s">
        <v>49</v>
      </c>
      <c r="D71" s="33"/>
      <c r="E71" s="34"/>
      <c r="F71" s="17">
        <v>28</v>
      </c>
      <c r="G71" s="13">
        <f t="shared" si="17"/>
        <v>22.68</v>
      </c>
      <c r="H71" s="17">
        <v>22.68</v>
      </c>
      <c r="I71" s="17"/>
      <c r="J71" s="17"/>
      <c r="K71" s="17"/>
      <c r="L71" s="17"/>
      <c r="M71" s="17">
        <f t="shared" si="14"/>
        <v>4.5359999999999996</v>
      </c>
      <c r="N71" s="17"/>
      <c r="O71" s="17"/>
      <c r="P71" s="17"/>
      <c r="Q71" s="17"/>
      <c r="R71" s="17"/>
      <c r="S71" s="17"/>
      <c r="T71" s="17"/>
      <c r="U71" s="17">
        <v>13.608000000000001</v>
      </c>
      <c r="V71" s="17">
        <f>-9.072</f>
        <v>-9.0719999999999992</v>
      </c>
      <c r="W71" s="17"/>
      <c r="X71" s="17">
        <v>18.143999999999998</v>
      </c>
      <c r="Y71" s="15">
        <f t="shared" si="12"/>
        <v>22.68</v>
      </c>
      <c r="Z71" s="25">
        <f t="shared" si="15"/>
        <v>0</v>
      </c>
      <c r="AA71" s="23">
        <f t="shared" si="16"/>
        <v>1</v>
      </c>
      <c r="AB71" s="31"/>
      <c r="AC71" s="31"/>
    </row>
    <row r="72" spans="1:29" ht="32.1" customHeight="1">
      <c r="A72" s="11"/>
      <c r="B72" s="31"/>
      <c r="C72" s="33" t="s">
        <v>50</v>
      </c>
      <c r="D72" s="33"/>
      <c r="E72" s="34"/>
      <c r="F72" s="17">
        <v>12</v>
      </c>
      <c r="G72" s="13">
        <f t="shared" si="17"/>
        <v>9.7200000000000006</v>
      </c>
      <c r="H72" s="17">
        <v>9.7200000000000006</v>
      </c>
      <c r="I72" s="17"/>
      <c r="J72" s="17"/>
      <c r="K72" s="17"/>
      <c r="L72" s="17"/>
      <c r="M72" s="17">
        <f t="shared" si="14"/>
        <v>1.944</v>
      </c>
      <c r="N72" s="17"/>
      <c r="O72" s="17"/>
      <c r="P72" s="17"/>
      <c r="Q72" s="17"/>
      <c r="R72" s="17"/>
      <c r="S72" s="17"/>
      <c r="T72" s="17"/>
      <c r="U72" s="17">
        <v>5.8319999999999999</v>
      </c>
      <c r="V72" s="17">
        <v>1.944</v>
      </c>
      <c r="W72" s="17">
        <v>1.944</v>
      </c>
      <c r="X72" s="17"/>
      <c r="Y72" s="15">
        <f t="shared" si="12"/>
        <v>9.7199999999999989</v>
      </c>
      <c r="Z72" s="25">
        <f t="shared" si="15"/>
        <v>0</v>
      </c>
      <c r="AA72" s="23">
        <f t="shared" si="16"/>
        <v>0.99999999999999978</v>
      </c>
      <c r="AB72" s="31"/>
      <c r="AC72" s="31"/>
    </row>
    <row r="73" spans="1:29" ht="32.1" customHeight="1">
      <c r="A73" s="11"/>
      <c r="B73" s="31"/>
      <c r="C73" s="33" t="s">
        <v>51</v>
      </c>
      <c r="D73" s="33"/>
      <c r="E73" s="34"/>
      <c r="F73" s="17">
        <v>12</v>
      </c>
      <c r="G73" s="13">
        <f t="shared" si="17"/>
        <v>9.7200000000000006</v>
      </c>
      <c r="H73" s="17">
        <v>9.7200000000000006</v>
      </c>
      <c r="I73" s="17"/>
      <c r="J73" s="17"/>
      <c r="K73" s="17"/>
      <c r="L73" s="17"/>
      <c r="M73" s="17">
        <f t="shared" si="14"/>
        <v>1.944</v>
      </c>
      <c r="N73" s="17"/>
      <c r="O73" s="17"/>
      <c r="P73" s="17"/>
      <c r="Q73" s="17"/>
      <c r="R73" s="17"/>
      <c r="S73" s="17"/>
      <c r="T73" s="17"/>
      <c r="U73" s="17">
        <v>5.8319999999999999</v>
      </c>
      <c r="V73" s="17">
        <v>1.944</v>
      </c>
      <c r="W73" s="17">
        <v>1.944</v>
      </c>
      <c r="X73" s="17"/>
      <c r="Y73" s="15">
        <f t="shared" si="12"/>
        <v>9.7199999999999989</v>
      </c>
      <c r="Z73" s="25">
        <f t="shared" si="15"/>
        <v>0</v>
      </c>
      <c r="AA73" s="23">
        <f t="shared" si="16"/>
        <v>0.99999999999999978</v>
      </c>
      <c r="AB73" s="31"/>
      <c r="AC73" s="31"/>
    </row>
    <row r="74" spans="1:29" ht="32.1" customHeight="1">
      <c r="A74" s="11"/>
      <c r="B74" s="31"/>
      <c r="C74" s="33" t="s">
        <v>52</v>
      </c>
      <c r="D74" s="33"/>
      <c r="E74" s="34"/>
      <c r="F74" s="17">
        <v>11</v>
      </c>
      <c r="G74" s="13">
        <f t="shared" si="17"/>
        <v>8.91</v>
      </c>
      <c r="H74" s="17">
        <v>8.91</v>
      </c>
      <c r="I74" s="17"/>
      <c r="J74" s="17"/>
      <c r="K74" s="17"/>
      <c r="L74" s="17"/>
      <c r="M74" s="17">
        <f t="shared" si="14"/>
        <v>1.782</v>
      </c>
      <c r="N74" s="17"/>
      <c r="O74" s="17"/>
      <c r="P74" s="17"/>
      <c r="Q74" s="17"/>
      <c r="R74" s="17"/>
      <c r="S74" s="17"/>
      <c r="T74" s="17"/>
      <c r="U74" s="17">
        <v>5.3460000000000001</v>
      </c>
      <c r="V74" s="17">
        <v>1.782</v>
      </c>
      <c r="W74" s="17">
        <v>1.782</v>
      </c>
      <c r="X74" s="17"/>
      <c r="Y74" s="15">
        <f t="shared" si="12"/>
        <v>8.91</v>
      </c>
      <c r="Z74" s="25">
        <f t="shared" si="15"/>
        <v>0</v>
      </c>
      <c r="AA74" s="23">
        <f t="shared" si="16"/>
        <v>1</v>
      </c>
      <c r="AB74" s="31"/>
      <c r="AC74" s="31"/>
    </row>
    <row r="75" spans="1:29" ht="39" customHeight="1">
      <c r="A75" s="11">
        <v>23</v>
      </c>
      <c r="B75" s="31" t="s">
        <v>133</v>
      </c>
      <c r="C75" s="33" t="s">
        <v>134</v>
      </c>
      <c r="D75" s="33" t="s">
        <v>34</v>
      </c>
      <c r="E75" s="34" t="s">
        <v>135</v>
      </c>
      <c r="F75" s="17">
        <v>398.5</v>
      </c>
      <c r="G75" s="13">
        <f t="shared" si="17"/>
        <v>299.78434900000002</v>
      </c>
      <c r="H75" s="17">
        <v>299.78434900000002</v>
      </c>
      <c r="I75" s="17"/>
      <c r="J75" s="17"/>
      <c r="K75" s="17"/>
      <c r="L75" s="17"/>
      <c r="M75" s="17">
        <v>150</v>
      </c>
      <c r="N75" s="17"/>
      <c r="O75" s="17"/>
      <c r="P75" s="17"/>
      <c r="Q75" s="17"/>
      <c r="R75" s="17"/>
      <c r="S75" s="17"/>
      <c r="T75" s="17"/>
      <c r="U75" s="17"/>
      <c r="V75" s="17">
        <v>100</v>
      </c>
      <c r="W75" s="17"/>
      <c r="X75" s="17">
        <v>199.78434899999999</v>
      </c>
      <c r="Y75" s="15">
        <f t="shared" si="12"/>
        <v>299.78434900000002</v>
      </c>
      <c r="Z75" s="25">
        <f t="shared" si="15"/>
        <v>0</v>
      </c>
      <c r="AA75" s="23">
        <f t="shared" si="16"/>
        <v>1</v>
      </c>
      <c r="AB75" s="31" t="s">
        <v>129</v>
      </c>
      <c r="AC75" s="31"/>
    </row>
    <row r="76" spans="1:29" ht="54" customHeight="1">
      <c r="A76" s="11">
        <v>24</v>
      </c>
      <c r="B76" s="31" t="s">
        <v>136</v>
      </c>
      <c r="C76" s="33" t="s">
        <v>137</v>
      </c>
      <c r="D76" s="33" t="s">
        <v>107</v>
      </c>
      <c r="E76" s="34" t="s">
        <v>138</v>
      </c>
      <c r="F76" s="17">
        <v>419.61</v>
      </c>
      <c r="G76" s="13">
        <f t="shared" si="17"/>
        <v>419.61</v>
      </c>
      <c r="H76" s="17">
        <v>419.61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>
        <v>126.9747</v>
      </c>
      <c r="X76" s="17">
        <f>197.2644+6.5</f>
        <v>203.76439999999999</v>
      </c>
      <c r="Y76" s="15">
        <f t="shared" si="12"/>
        <v>330.73910000000001</v>
      </c>
      <c r="Z76" s="25">
        <f t="shared" si="15"/>
        <v>88.870900000000006</v>
      </c>
      <c r="AA76" s="23">
        <f t="shared" si="16"/>
        <v>0.78820595314696984</v>
      </c>
      <c r="AB76" s="31" t="s">
        <v>139</v>
      </c>
      <c r="AC76" s="31"/>
    </row>
    <row r="77" spans="1:29" ht="48">
      <c r="A77" s="31">
        <v>25</v>
      </c>
      <c r="B77" s="31" t="s">
        <v>140</v>
      </c>
      <c r="C77" s="33" t="s">
        <v>141</v>
      </c>
      <c r="D77" s="33" t="s">
        <v>34</v>
      </c>
      <c r="E77" s="34" t="s">
        <v>142</v>
      </c>
      <c r="F77" s="17">
        <v>256</v>
      </c>
      <c r="G77" s="13">
        <f t="shared" si="17"/>
        <v>232.047616</v>
      </c>
      <c r="H77" s="17">
        <v>232.047616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>
        <v>230.682616</v>
      </c>
      <c r="Y77" s="15">
        <f t="shared" si="12"/>
        <v>230.682616</v>
      </c>
      <c r="Z77" s="25">
        <f t="shared" si="15"/>
        <v>1.3650000000000091</v>
      </c>
      <c r="AA77" s="23">
        <f t="shared" si="16"/>
        <v>0.99411758662497951</v>
      </c>
      <c r="AB77" s="31" t="s">
        <v>43</v>
      </c>
      <c r="AC77" s="31"/>
    </row>
    <row r="78" spans="1:29" ht="36">
      <c r="A78" s="31">
        <v>26</v>
      </c>
      <c r="B78" s="31" t="s">
        <v>143</v>
      </c>
      <c r="C78" s="33" t="s">
        <v>144</v>
      </c>
      <c r="D78" s="33" t="s">
        <v>107</v>
      </c>
      <c r="E78" s="34" t="s">
        <v>145</v>
      </c>
      <c r="F78" s="17">
        <v>350</v>
      </c>
      <c r="G78" s="13">
        <f t="shared" si="17"/>
        <v>390</v>
      </c>
      <c r="H78" s="17">
        <v>390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>
        <f>103.1262+68.750834</f>
        <v>171.87703399999998</v>
      </c>
      <c r="Y78" s="15">
        <f t="shared" si="12"/>
        <v>171.87703399999998</v>
      </c>
      <c r="Z78" s="25">
        <f t="shared" si="15"/>
        <v>218.12296600000002</v>
      </c>
      <c r="AA78" s="23">
        <f t="shared" si="16"/>
        <v>0.44071034358974354</v>
      </c>
      <c r="AB78" s="31" t="s">
        <v>51</v>
      </c>
      <c r="AC78" s="31"/>
    </row>
    <row r="79" spans="1:29" ht="27">
      <c r="A79" s="31">
        <v>27</v>
      </c>
      <c r="B79" s="31" t="s">
        <v>146</v>
      </c>
      <c r="C79" s="33" t="s">
        <v>147</v>
      </c>
      <c r="D79" s="33" t="s">
        <v>107</v>
      </c>
      <c r="E79" s="34" t="s">
        <v>148</v>
      </c>
      <c r="F79" s="17">
        <v>356.09</v>
      </c>
      <c r="G79" s="13">
        <f t="shared" si="17"/>
        <v>390</v>
      </c>
      <c r="H79" s="17">
        <v>390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>
        <f>93.14922+62.099481+6.305882</f>
        <v>161.55458299999998</v>
      </c>
      <c r="Y79" s="15">
        <f t="shared" si="12"/>
        <v>161.55458299999998</v>
      </c>
      <c r="Z79" s="25">
        <f t="shared" si="15"/>
        <v>228.44541700000002</v>
      </c>
      <c r="AA79" s="23">
        <f t="shared" si="16"/>
        <v>0.41424252051282046</v>
      </c>
      <c r="AB79" s="31" t="s">
        <v>41</v>
      </c>
      <c r="AC79" s="31"/>
    </row>
    <row r="80" spans="1:29" ht="36">
      <c r="A80" s="31">
        <v>28</v>
      </c>
      <c r="B80" s="31" t="s">
        <v>149</v>
      </c>
      <c r="C80" s="33" t="s">
        <v>150</v>
      </c>
      <c r="D80" s="33" t="s">
        <v>107</v>
      </c>
      <c r="E80" s="34" t="s">
        <v>151</v>
      </c>
      <c r="F80" s="17">
        <v>360</v>
      </c>
      <c r="G80" s="13">
        <f t="shared" si="17"/>
        <v>390</v>
      </c>
      <c r="H80" s="17">
        <f>174.9826+42.364253</f>
        <v>217.34685299999998</v>
      </c>
      <c r="I80" s="17">
        <v>172.65314699999999</v>
      </c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>
        <v>174.98259999999999</v>
      </c>
      <c r="Y80" s="15">
        <f t="shared" si="12"/>
        <v>174.98259999999999</v>
      </c>
      <c r="Z80" s="25">
        <f t="shared" si="15"/>
        <v>215.01740000000001</v>
      </c>
      <c r="AA80" s="23">
        <f t="shared" si="16"/>
        <v>0.44867333333333331</v>
      </c>
      <c r="AB80" s="31" t="s">
        <v>47</v>
      </c>
      <c r="AC80" s="31"/>
    </row>
    <row r="81" spans="1:29" ht="96">
      <c r="A81" s="31">
        <v>29</v>
      </c>
      <c r="B81" s="31" t="s">
        <v>152</v>
      </c>
      <c r="C81" s="33" t="s">
        <v>153</v>
      </c>
      <c r="D81" s="33" t="s">
        <v>107</v>
      </c>
      <c r="E81" s="34" t="s">
        <v>154</v>
      </c>
      <c r="F81" s="17">
        <v>240</v>
      </c>
      <c r="G81" s="13">
        <f t="shared" si="17"/>
        <v>282</v>
      </c>
      <c r="H81" s="17">
        <f>240+42</f>
        <v>282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>
        <v>84.507000000000005</v>
      </c>
      <c r="X81" s="17">
        <v>155.49299999999999</v>
      </c>
      <c r="Y81" s="15">
        <f t="shared" si="12"/>
        <v>240</v>
      </c>
      <c r="Z81" s="25">
        <f t="shared" si="15"/>
        <v>42</v>
      </c>
      <c r="AA81" s="23">
        <f t="shared" si="16"/>
        <v>0.85106382978723405</v>
      </c>
      <c r="AB81" s="31" t="s">
        <v>79</v>
      </c>
      <c r="AC81" s="31"/>
    </row>
    <row r="82" spans="1:29" ht="48">
      <c r="A82" s="31">
        <v>30</v>
      </c>
      <c r="B82" s="31"/>
      <c r="C82" s="33" t="s">
        <v>155</v>
      </c>
      <c r="D82" s="33"/>
      <c r="E82" s="34" t="s">
        <v>156</v>
      </c>
      <c r="F82" s="17">
        <v>1101.3984</v>
      </c>
      <c r="G82" s="13">
        <f t="shared" si="17"/>
        <v>1101.3984</v>
      </c>
      <c r="H82" s="17">
        <v>1101.3984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>
        <v>1095.01856</v>
      </c>
      <c r="Y82" s="15">
        <f t="shared" si="12"/>
        <v>1095.01856</v>
      </c>
      <c r="Z82" s="25">
        <f t="shared" si="15"/>
        <v>6.3798400000000584</v>
      </c>
      <c r="AA82" s="23">
        <f t="shared" si="16"/>
        <v>0.99420750929000801</v>
      </c>
      <c r="AB82" s="31" t="s">
        <v>41</v>
      </c>
      <c r="AC82" s="31"/>
    </row>
    <row r="83" spans="1:29" ht="48" customHeight="1">
      <c r="A83" s="31">
        <v>31</v>
      </c>
      <c r="B83" s="31"/>
      <c r="C83" s="33" t="s">
        <v>157</v>
      </c>
      <c r="D83" s="33"/>
      <c r="E83" s="34" t="s">
        <v>158</v>
      </c>
      <c r="F83" s="17">
        <v>240</v>
      </c>
      <c r="G83" s="13">
        <f t="shared" si="17"/>
        <v>240</v>
      </c>
      <c r="H83" s="17">
        <v>240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>
        <f>252-12</f>
        <v>240</v>
      </c>
      <c r="Y83" s="15">
        <f t="shared" si="12"/>
        <v>240</v>
      </c>
      <c r="Z83" s="25">
        <f t="shared" si="15"/>
        <v>0</v>
      </c>
      <c r="AA83" s="23">
        <f t="shared" si="16"/>
        <v>1</v>
      </c>
      <c r="AB83" s="31" t="s">
        <v>109</v>
      </c>
      <c r="AC83" s="31"/>
    </row>
  </sheetData>
  <mergeCells count="26">
    <mergeCell ref="A1:AC1"/>
    <mergeCell ref="A2:D2"/>
    <mergeCell ref="G3:L3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phoneticPr fontId="13" type="noConversion"/>
  <dataValidations count="1">
    <dataValidation allowBlank="1" showInputMessage="1" showErrorMessage="1" sqref="D1:D4 D61:D1048576"/>
  </dataValidations>
  <pageMargins left="0.55000000000000004" right="0.43263888888888902" top="0.55000000000000004" bottom="0.27500000000000002" header="0.35416666666666702" footer="0.15625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衔接资金12月计划12.30</vt:lpstr>
      <vt:lpstr>衔接资金12月计划12.30!Print_Area</vt:lpstr>
      <vt:lpstr>衔接资金12月计划12.30!Print_Titles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xiyxj</dc:creator>
  <cp:lastModifiedBy>Admin</cp:lastModifiedBy>
  <cp:lastPrinted>2020-08-15T15:25:00Z</cp:lastPrinted>
  <dcterms:created xsi:type="dcterms:W3CDTF">2018-03-23T07:57:00Z</dcterms:created>
  <dcterms:modified xsi:type="dcterms:W3CDTF">2023-04-24T11:43:16Z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  <property fmtid="{D5CDD505-2E9C-101B-9397-08002B2CF9AE}" pid="4" name="ICV">
    <vt:lpwstr>BA6AA148AB8C4663B30EA46926065A3D</vt:lpwstr>
  </property>
</Properties>
</file>