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942" windowHeight="10045" tabRatio="722"/>
  </bookViews>
  <sheets>
    <sheet name="11月" sheetId="48" r:id="rId1"/>
  </sheets>
  <definedNames>
    <definedName name="_xlnm._FilterDatabase" localSheetId="0" hidden="1">'11月'!$5:$196</definedName>
    <definedName name="_xlnm.Print_Area" localSheetId="0">'11月'!$A$1:$V$196</definedName>
    <definedName name="_xlnm.Print_Titles" localSheetId="0">'11月'!$1:$4</definedName>
  </definedNames>
  <calcPr calcId="144525"/>
</workbook>
</file>

<file path=xl/comments1.xml><?xml version="1.0" encoding="utf-8"?>
<comments xmlns="http://schemas.openxmlformats.org/spreadsheetml/2006/main">
  <authors>
    <author>user</author>
  </authors>
  <commentList>
    <comment ref="S136" authorId="0">
      <text>
        <r>
          <rPr>
            <b/>
            <sz val="9"/>
            <rFont val="宋体"/>
            <charset val="134"/>
          </rPr>
          <t>user:</t>
        </r>
        <r>
          <rPr>
            <sz val="9"/>
            <rFont val="宋体"/>
            <charset val="134"/>
          </rPr>
          <t xml:space="preserve">
</t>
        </r>
        <r>
          <rPr>
            <sz val="32"/>
            <rFont val="宋体"/>
            <charset val="134"/>
          </rPr>
          <t>11月退款一笔2000元</t>
        </r>
      </text>
    </comment>
    <comment ref="G177" authorId="0">
      <text>
        <r>
          <rPr>
            <sz val="28"/>
            <rFont val="宋体"/>
            <charset val="134"/>
          </rPr>
          <t>原金额=1531.73719+56.4898</t>
        </r>
      </text>
    </comment>
  </commentList>
</comments>
</file>

<file path=xl/sharedStrings.xml><?xml version="1.0" encoding="utf-8"?>
<sst xmlns="http://schemas.openxmlformats.org/spreadsheetml/2006/main" count="622" uniqueCount="392">
  <si>
    <t>伽师县2025年巩固拓展脱贫攻坚成果和乡村振兴有效衔接项目资金使用情况表</t>
  </si>
  <si>
    <t>序号</t>
  </si>
  <si>
    <t>项目库
编号</t>
  </si>
  <si>
    <t>项目名称</t>
  </si>
  <si>
    <t>主要建设内容</t>
  </si>
  <si>
    <t>资金规模及来源</t>
  </si>
  <si>
    <t>项目主管
部门</t>
  </si>
  <si>
    <t>11月支出</t>
  </si>
  <si>
    <t>1-11月累计支出</t>
  </si>
  <si>
    <t>余额</t>
  </si>
  <si>
    <t>支付率</t>
  </si>
  <si>
    <t>合计</t>
  </si>
  <si>
    <t>财政衔接资金</t>
  </si>
  <si>
    <t>其他涉农
整合资金</t>
  </si>
  <si>
    <t>地方政府
债券资金</t>
  </si>
  <si>
    <t>地（67万）县（260万）资金</t>
  </si>
  <si>
    <t>其他资金</t>
  </si>
  <si>
    <t>小计</t>
  </si>
  <si>
    <t>纯中央</t>
  </si>
  <si>
    <t>自治区</t>
  </si>
  <si>
    <t>以工
代赈</t>
  </si>
  <si>
    <t>少数
民族
发展</t>
  </si>
  <si>
    <t>欠发达
国有
农场</t>
  </si>
  <si>
    <t>欠发达
国有
林场</t>
  </si>
  <si>
    <t>欠发达
国有
牧场</t>
  </si>
  <si>
    <t>一</t>
  </si>
  <si>
    <t>产业增收</t>
  </si>
  <si>
    <t>jsx202501</t>
  </si>
  <si>
    <t>伽师县林果追施有机肥补助项目</t>
  </si>
  <si>
    <t>总投资：6068.65万元
建设内容：为13个乡镇285个村19215户脱贫户、监测户种植的86695亩林果追施有机肥，补助标准700元/亩。</t>
  </si>
  <si>
    <t>林草局、项目涉及乡镇</t>
  </si>
  <si>
    <t>英买里镇人民政府</t>
  </si>
  <si>
    <t>江巴孜乡人民政府</t>
  </si>
  <si>
    <t>卧里托格拉克镇人民政府</t>
  </si>
  <si>
    <t>克孜勒博依镇人民政府</t>
  </si>
  <si>
    <t>米夏乡人民政府</t>
  </si>
  <si>
    <t>夏普吐勒镇人民政府</t>
  </si>
  <si>
    <t>和夏阿瓦提镇人民政府</t>
  </si>
  <si>
    <t>克孜勒苏乡人民政府</t>
  </si>
  <si>
    <t>古勒鲁克乡人民政府</t>
  </si>
  <si>
    <t>玉代克力克乡人民政府</t>
  </si>
  <si>
    <t>巴仁镇人民政府</t>
  </si>
  <si>
    <t>铁日木乡</t>
  </si>
  <si>
    <t>西克尔库勒镇人民政府</t>
  </si>
  <si>
    <t>jsx202502</t>
  </si>
  <si>
    <t>伽师县林果病虫害防治项目</t>
  </si>
  <si>
    <t>总投资：1013.7096万元
建设内容：为全县13个乡镇280个村18886户脱贫户、监测户种植的84475.8亩林果进行病虫害防治，补助标准：120元/亩。</t>
  </si>
  <si>
    <t>林草局、各乡镇</t>
  </si>
  <si>
    <t>jsx202504</t>
  </si>
  <si>
    <t>伽师县甜菜种植补助项目</t>
  </si>
  <si>
    <t>总投资：1032.62万元
建设内容：为全县12个乡镇162个村6102户脱贫户及监测对象种植的甜菜20652.4亩进行补助，补助标准：500元/亩。
1、英买里镇18个村773户3517.3亩。
2、江巴孜乡23个村667户2567.7亩。
3、卧里托格拉克镇22个村364户2041.7亩。
4、克孜勒博依镇1个村1户10亩。
5、米夏乡14个村338户2325.8亩。
6、夏普吐勒镇3个村7户130.7亩。
7、和夏阿瓦提镇34个村2509户5000亩。
8、克孜勒苏乡23个村906户2639.5亩。
9、古勒鲁克乡9个村204户1088.4亩。
10、玉代克力克乡4个村105户531.6亩。
11、铁日木乡3个村81户130亩。
12、西克尔库勒镇12个村147户669.7亩。</t>
  </si>
  <si>
    <t>农业农村局、项目涉及乡镇</t>
  </si>
  <si>
    <t>jsx202505</t>
  </si>
  <si>
    <t>伽师县伽师瓜种植补助项目</t>
  </si>
  <si>
    <t>总投资：1575.26万元
建设内容：为全县12个乡镇239个村7418户脱贫户（含监测户）种植的31505.2亩伽师瓜。待种植完成后，成活率在85%以上进行补助，补助标准：500元/亩。
1、英买里镇20个村291户479.6亩。
2、江巴孜乡18个村244户324.3亩。
3、卧里托格拉克镇28个村1121户6464.4亩。
4、克孜勒博依镇21个村264户592.6亩。
5、米夏乡15个村157户218.2亩。
6、夏普吐勒镇18个村110户186亩。
7、和夏阿瓦提镇24个村570户1435.1亩。
8、克孜勒苏乡23个村1296户4737亩；
9、古勒鲁克乡24个村1648户10665.4亩。
10、玉代克力克乡10个村285户1159.5亩。
11、西克尔库勒镇27个村1041户4592.1亩。
12、铁日木乡11个村391户651亩。</t>
  </si>
  <si>
    <t>jsx202506</t>
  </si>
  <si>
    <t>伽师县2025年拱棚改造提升补助项目</t>
  </si>
  <si>
    <t>总投资：88.93341万元
建设内容：对全县12个乡镇143个村原有的3009户脱贫户、监测户种植的592889.4㎡拱棚进行改造提升补助，1.5元/㎡。
1、英买里镇11个村290户53368㎡。
2、江巴孜乡12个村308户127469.1㎡。
3、卧里托格拉克镇6个村175户25431.7㎡。
4、克孜勒博依镇6个村141户68825.8㎡。
5、米夏乡6个村192户64880㎡。
6、夏普吐勒镇14个村87户20584㎡。
7、和夏阿瓦提镇24个村350户76184.8㎡。
8、克孜勒苏乡26个村414户26903㎡。
9、玉代克力克乡8个村374户22781㎡。
10、巴仁镇2个村4户720㎡。
11、铁日木乡共118户27222㎡。
12、西克尔库勒镇22个村556户78520㎡。</t>
  </si>
  <si>
    <t>农技中心、各乡镇</t>
  </si>
  <si>
    <t>jsx202509</t>
  </si>
  <si>
    <t>伽师县玉代克力克乡就业创业基地建设项目</t>
  </si>
  <si>
    <t>总投资：700万元
建设内容：在玉代克力克乡巴扎（5）村建设集中连片建设乡村振兴就业创业基地约1500平方米及配套相关附属设施。</t>
  </si>
  <si>
    <t>jsx202513</t>
  </si>
  <si>
    <t>伽师县英买里镇壮大村集体经济建设项目</t>
  </si>
  <si>
    <t>总投资：385万元。
建设内容在英买里镇英买里（10）村建设乡村旅游设施场所1000平方米及配套相关附属设施。</t>
  </si>
  <si>
    <t>jsx202514</t>
  </si>
  <si>
    <t>伽师县克孜勒苏乡壮大村集体建设项目</t>
  </si>
  <si>
    <t>总投资：300万元。
建设内容：在克孜勒苏乡巴什温塔木（25）村修建保鲜库1000立方米及附属设施。</t>
  </si>
  <si>
    <t>jsx202515</t>
  </si>
  <si>
    <t>伽师县铁日木乡壮大村集体经济建设项目</t>
  </si>
  <si>
    <t>总投资：300万元。
建设内容：在铁日木乡幸福（11）村胡杨林公园停车场对面建设壮大村集体经济就业创业基地1000平方米及附属设施。</t>
  </si>
  <si>
    <t>jsx202517</t>
  </si>
  <si>
    <t>伽师县巴仁镇琼巴格（4）村壮大村集体经济项目</t>
  </si>
  <si>
    <t>总投资：100万元。
建设内容：在巴仁镇琼巴格（4）村建设农村物流设施500平方米及附属设施。</t>
  </si>
  <si>
    <t>jsx202518</t>
  </si>
  <si>
    <t>伽师县巴仁镇阿热买里（5）村壮大村集体经济项目</t>
  </si>
  <si>
    <t>总投资：100万元。
建设内容：在巴仁镇阿热买里（5）村建设农村物流设施500平方米及附属设施。</t>
  </si>
  <si>
    <t>jsx202519</t>
  </si>
  <si>
    <t>伽师县西克尔库勒镇产业发展供水设施建设项目</t>
  </si>
  <si>
    <t>总投资：389万元
建设内容：新建6座水井，6台100Kva变压器及水泵，6220米高压线缆，7852米DN160PE供水管网及附属配套。</t>
  </si>
  <si>
    <t>jsx202522</t>
  </si>
  <si>
    <t>伽师县西克尔库勒镇灾后重建经济林带建设项目</t>
  </si>
  <si>
    <t>总投资：397万元
建设内容：在西克尔库勒镇西克尔村平整1805.8亩经济林，开展林床修建、铺设引水管网108.770公里，约2200元/亩。</t>
  </si>
  <si>
    <t>jsx202525</t>
  </si>
  <si>
    <t>伽师县2025年英买里镇设施农业提升改造项目</t>
  </si>
  <si>
    <t>总投资：250万元
建设内容：对英买里镇阿亚格英买里（11）村90座温室大棚进行改造，包含基质槽建设、防虫网改造、购买基质、棉被、集中水肥灌溉控制系统等。</t>
  </si>
  <si>
    <t>jsx202526</t>
  </si>
  <si>
    <t>伽师县家禽养殖、屠宰、深加工产业链建设基础设施建设项目</t>
  </si>
  <si>
    <t>总投资：900万元
建设内容：新建成品配电室3座，总建筑面积402.39平方米，安装1600KVA 变压器3台，新增场地硬化 20000平方米，铺设给水管网1950米、供电管线6250米以及相关配套附属设施等。</t>
  </si>
  <si>
    <t>畜牧局</t>
  </si>
  <si>
    <t>jsx202527</t>
  </si>
  <si>
    <t>伽师县克孜勒苏乡2025年小微产业园基础设施提升项目</t>
  </si>
  <si>
    <t>总投资：360万元
建设内容：地面硬化16000平方米，排水管线管径dn315，长度350米，检查井20座。一个变压器350kv及配套附属设施。</t>
  </si>
  <si>
    <t>jsx202528</t>
  </si>
  <si>
    <t>伽师县卧里托格拉克镇2025年产业发展基础设施配套项目</t>
  </si>
  <si>
    <t>总投资：1100万元
建设内容：在卧里托格拉克镇阿亚格阿克达里亚（24）村防渗改造渠道4条，配套渠系建筑物，长度10.53公里，设计流量1.1-0.2m³/s。</t>
  </si>
  <si>
    <t>水利局</t>
  </si>
  <si>
    <t>jsx202529</t>
  </si>
  <si>
    <t>伽师县克孜勒博依镇2025年产业发展基础设施配套项目</t>
  </si>
  <si>
    <t>总投资：1300万元
建设内容：计划防渗改造渠道4条，配套渠系建筑物，长度10.89公里，设计流量0.6-0.2m³/s，计划投资1300万元。其中：
1、克孜勒博依镇阿容（29）村防渗改造渠道1条，配套渠系建筑物，长度1.66公里，设计流量0.6-0.2m³/s，计划投资198.15万元；
2、克孜勒博依镇喀力克（32）村防渗改造渠道1条，配套渠系建筑物，长度3公里，设计流量0.5-0.2m³/s，计划投资358.2万元；
3、克孜勒博依镇托万阿热克什拉克（20）村防渗改造渠道1条，配套渠系建筑物，长度2.4公里，设计流量0.6-0.2m³/s，计划投资286.45万元；
4、克孜勒博依镇喀拉央塔克（31）村防渗改造渠道1条，配套渠系建筑物，3.83公里，设计流量0.5-0.2m³/s，计划投资457.2万元。</t>
  </si>
  <si>
    <t>jsx202530</t>
  </si>
  <si>
    <t>伽师县米夏乡2025年产业发展基础设施配套项目</t>
  </si>
  <si>
    <t>总投资：1350万元
建设内容：计划防渗改造渠道3条，配套渠系建筑物，长度11.33公里，设计流量1.0-0.2m³/s，计划投资1350万元。其中：
1、米夏乡恰喀（2）村防渗改造渠道1条，配套渠系建筑物，长度4.83公里，设计流量0.8-0.2m³/s，计划投资550万元；
2、米夏乡巴什英温（18）村防渗改造渠道1条，配套渠系建筑物，长度3.5公里，设计流量0.8-0.2m³/s，计划投资450万元；
3、米夏乡米夏（6）村防渗改造渠道1条，配套渠系建筑物，长度3公里，设计流量1.0-0.2m³/s，计划投资350万元。</t>
  </si>
  <si>
    <t>jsx202531</t>
  </si>
  <si>
    <t>伽师县夏普吐勒镇2025年产业发展基础设施配套项目</t>
  </si>
  <si>
    <t>总投资：1900万元
建设内容：在夏普吐勒镇库木墩（22）村计划防渗改造渠道2条，配套渠系建筑物，长度15.7公里，设计流量1.5-0.2m³/s。</t>
  </si>
  <si>
    <t>jsx202532</t>
  </si>
  <si>
    <t>伽师县和夏阿瓦提镇2025年产业发展基础设施配套项目</t>
  </si>
  <si>
    <t>总投资：764万元
建设内容：计划防渗改造渠道3条，配套渠系建筑物，长度7.378公里，设计流量0.8-0.2m³/s，计划投资764元。其中：
1、和夏阿瓦提镇巴依托喀依（9）村防渗改造渠道1条，配套渠系建筑物，长度4.378公里，设计流量0.6-0.3m³/s，计划投资404万元；
2、和夏阿瓦提镇克亚格勒克（28）村防渗改造渠道1条，配套渠系建筑物，长度3公里，设计流量0.8-0.2m³/s，计划投资360万元。</t>
  </si>
  <si>
    <t>jsx202533</t>
  </si>
  <si>
    <t>伽师县克孜勒苏乡2025年产业发展基础设施配套项目</t>
  </si>
  <si>
    <t>总投资：748万元
建设内容：计划防渗改造渠道2条，配套渠系建筑物，长度6.253公里，设计流量0.6-0.2m³/s：
1、克孜勒苏乡阿克托喀依村防渗改造渠道1条，配套渠系建筑物，长度4.128公里，设计流量0.6-0.2m³/s，计划投资490万元；
2、克孜勒苏乡阿克墩村防渗改造渠道1条，配套渠系建筑物，长度2.125公里，设计流量0.5-0.2m³/s，计划投资258万元。</t>
  </si>
  <si>
    <t>jsx202534</t>
  </si>
  <si>
    <t>伽师县古勒鲁克乡2025年产业发展基础设施配套项目</t>
  </si>
  <si>
    <t>总投资：1090万元
建设内容：在古勒鲁克乡英巴格（5）村计划防渗改造渠道1条，配套渠系建筑物，长度9.024公里，设计流量1.5-0.2m³/s。</t>
  </si>
  <si>
    <t>jsx202535</t>
  </si>
  <si>
    <t>伽师县玉代克力克乡2025年产业发展基础设施配套项目</t>
  </si>
  <si>
    <t>总投资：1180万元
建设内容：在玉代克力克乡依提帕克（9）村计划防渗改造渠道4条，配套渠系建筑物，长度10.515公里，1.5-0.2m³/s。</t>
  </si>
  <si>
    <t>jsx202536</t>
  </si>
  <si>
    <t>伽师县西克尔库勒镇2025年产业发展基础设施配套项目</t>
  </si>
  <si>
    <t>总投资：2720万元
建设内容：计划防渗改造渠道4条，配套渠系建筑物，长度24.284公里，设计流量1.5-0.1m³/s，其中：
1、西克尔库勒镇向阳（17）村、阿吉勒格勒克（18）村防渗改造渠道1条，配套渠系建筑物，长度11.474公里，设计流量1.5-0.4m³/s，计划投资1306.1万元；
2、西克尔库勒镇苏坎阿斯特（26）村防渗改造渠道1条，配套渠系建筑物，长度9.61公里,1.3-0.3m³/s,计划投资1093.9万元；
3、西克尔库勒镇红山（20）村防渗改造渠道2条，配套渠系建筑物，长度3.2公里，设计流量0.4-0.1m³/s，计划投资320万元。</t>
  </si>
  <si>
    <t>jsx202537</t>
  </si>
  <si>
    <t>伽师县西克尔库勒镇金瓜村2025年产业发展基础设施配套项目</t>
  </si>
  <si>
    <t>总投资：1141万元
建设内容：在西克尔库勒镇金瓜（16）村计划防渗改造渠道1条，配套渠系建筑物，长度9公里，设计流量1.5-0.1m³/s。</t>
  </si>
  <si>
    <t>jsx202538</t>
  </si>
  <si>
    <t>伽师县西克尔库勒镇达西村产业发展基础设施配套项目</t>
  </si>
  <si>
    <t>总投资：1955万元
建设内容：在西克尔库勒镇达西村计划防渗改造渠道1条，配套渠系建筑物，长度10.6公里，设计流量1.5m³/s。</t>
  </si>
  <si>
    <t>jsx202539</t>
  </si>
  <si>
    <t>伽师县英买里镇产业发展基础设施配套项目</t>
  </si>
  <si>
    <t>总投资：2030万元
建设内容：在英买里镇英阿瓦提（17）村计划防渗改造渠道1条，配套渠系建筑物，长度11公里，设计流量1.4m³/s。</t>
  </si>
  <si>
    <t>jsx202540</t>
  </si>
  <si>
    <t>伽师县卧里托格拉克镇强孜村产业发展基础设施配套项目</t>
  </si>
  <si>
    <t>总投资：1095万元
建设内容：在卧里托格拉克镇强孜（12）村计划防渗改造渠道1条，配套渠系建筑物，长度8.415公里，设计流量0.97—0.35m³/s。</t>
  </si>
  <si>
    <t>jsx202541</t>
  </si>
  <si>
    <t>伽师县古勒鲁克乡塔让其村产业发展基础设施配套项目</t>
  </si>
  <si>
    <t>总投资：460万元
建设内容：在古勒鲁克乡塔然其（22）村计划防渗改造渠道2条，配套渠系建筑物，长度3.409公里，设计流量0.96-0.2m³/s。</t>
  </si>
  <si>
    <t>jsx202544</t>
  </si>
  <si>
    <t>伽师县英买里镇库木艾日克（1）村2025年村级产业配套项目</t>
  </si>
  <si>
    <t>总投资：344万元
建设内容：在英买里镇库木艾日克（1）村防渗改造渠道1条，配套渠系建筑物，长度4.3公里，设计流量0.5-0.2m³/S，计划投资344万元。</t>
  </si>
  <si>
    <t>jsx202545</t>
  </si>
  <si>
    <t>伽师县英买里镇巴什兰干（13）村2025年村级产业配套项目</t>
  </si>
  <si>
    <t>总投资：388万元
建设内容：在英买里镇巴什兰干（13）村防渗改造渠道1条，配套渠系建筑物，长度5公里，设计流量0.5-0.2m³/S，计划投资388万元。</t>
  </si>
  <si>
    <t>jsx202546</t>
  </si>
  <si>
    <t>伽师县江巴孜乡2025年村级产业配套项目</t>
  </si>
  <si>
    <t>总投资：1450万元
建设内容：防渗改造渠道4个村，配套渠系建筑物，长度16.287公里，流量0.7-0.2m³/S，计划投资1450万元。
1.江巴孜乡江巴孜（1）村防渗改造渠道5条，配套渠系建筑物，长度5.137公里，设计流量0.7-0.2m³/S。
2.江巴孜乡色热克托格拉克（3）村防渗改造渠道5条，配套渠系建筑物，长度3.928公里，设计流量0.5-0.2m³/S。
3.江巴孜乡科克库木（6）村防渗改造渠道7条，配套渠系建筑物，长度3.917公里，设计流量0.5-0.2m³/S。
4.江巴孜乡克孜勒吉依木（12）村防渗改造渠道4条，配套渠系建筑物，长度3.305公里，设计流量0.7-0.2m³/S。</t>
  </si>
  <si>
    <t>jsx202547</t>
  </si>
  <si>
    <t>伽师县江巴孜乡2025年产业配套项目</t>
  </si>
  <si>
    <t>总投资：1312万元
建设内容：防渗改造渠道4个村，配套渠系建筑物，长度15.319公里，流量0.7-0.2m³/S。
1.江巴孜乡阿克吐尔（2）村防渗改造渠道6条，配套渠系建筑物，长度4.215公里，设计流量0.5-0.2m³/S。
2.江巴孜乡阿亚克仓（14）村防渗改造渠道5条，配套渠系建筑物，长度4.648公里，设计流量0.7-0.3m³/S。
3.江巴孜乡其维克（15）村防渗改造渠道7条，配套渠系建筑物，长度3.256公里，0.3-0.2m³/S.
4.江巴孜乡尤库日吐格曼贝希（19）村防渗改造渠道6条，配套渠系建筑物，长度3.2公里，设计流量0.3-0.2m³/S。</t>
  </si>
  <si>
    <t>jsx202548</t>
  </si>
  <si>
    <t>伽师县江巴孜乡萨热依塔木（5）村产业配套项目</t>
  </si>
  <si>
    <t>总投资：388万元
建设内容：在江巴孜乡萨热依塔木（5）村防渗改造渠道7条，配套渠系建筑物，长度5.01公里，流量0.5-0.2m³/S。</t>
  </si>
  <si>
    <t>jsx202550</t>
  </si>
  <si>
    <t>伽师县卧里托格拉克镇龙口（16）村产业配套项目</t>
  </si>
  <si>
    <t>总投资：388万元
建设内容：在卧里托格拉克镇龙口（16）村防渗改造渠道1条，配套渠系建筑物，长度4.1公里，流量0.7-0.3m³/S。</t>
  </si>
  <si>
    <t>jsx202552</t>
  </si>
  <si>
    <t>伽师县克孜勒博依镇木努尔（25）村、铁热克博斯坦（28）村产业配套项目</t>
  </si>
  <si>
    <t>总投资：388万元
建设内容：防渗改造渠道2条，配套渠系建筑物，长度4公里，流量0.5-0.2m³/s。其中：克孜勒博依镇木努尔（25）村2.5公里、克孜勒博依镇铁热克博斯坦（28）村1.5公里。</t>
  </si>
  <si>
    <t>jsx202553</t>
  </si>
  <si>
    <t>伽师县克孜勒博依镇2025年特色产业配套项目</t>
  </si>
  <si>
    <t>总投资：1500万元（资金来源：中央财政少数民族发展资金）
建设内容：防渗改造渠道5条，配套渠系建筑物，长度13.515公里，流量0.7-0.2m³/s，
1、克孜勒博依镇阔什艾日克（7）村1条，配套渠系建筑物，长度1.358公里，设计流量0.5-0.2m³/s。
2、克孜勒博依镇依提帕克（15）村2条，配套渠系建筑物，长度3.238公里，设计流量0.5-0.2m³/s。
3、克孜勒博依镇巴什英阿依马克（10）村防渗改造渠道1条，配套渠系建筑物，长度5.103公里，设计流量0.5-0.2m³/s。
4、克孜勒博依镇吾斯塘博依（12）村防渗改造渠道1条，配套渠系建筑物，长度3.816公里，设计流量0.7-0.3m³/s。</t>
  </si>
  <si>
    <t>jsx202555</t>
  </si>
  <si>
    <t>伽师县米夏乡吐格巴斯特（16）村产业配套项目</t>
  </si>
  <si>
    <t>总投资：389万元
建设内容：米夏乡吐格巴斯特（16）村支渠防渗长度4.1km及渠系建筑物，设计流量0.2-0.17m³/s</t>
  </si>
  <si>
    <t>jsx202558</t>
  </si>
  <si>
    <t>伽师县夏普吐勒镇阿热夏普吐勒（7）村产业配套项目</t>
  </si>
  <si>
    <t>总投资：386万元
建设内容：在夏普吐勒镇阿热夏普吐勒（7）村防渗改造渠道7条，配套渠系建筑物，长度4.02公里，设计流量1～0.2m³/s。</t>
  </si>
  <si>
    <t>jsx202560</t>
  </si>
  <si>
    <t>伽师县和夏阿瓦提镇喀热萨（25）村产业配套项目</t>
  </si>
  <si>
    <t>总投资：388万元
建设内容：在和夏阿瓦提镇喀热萨（25）村改造防渗渠3,666公里及渠系配套建筑物，设计流量0.22-0.14m³/s。</t>
  </si>
  <si>
    <t>jsx202562</t>
  </si>
  <si>
    <t>伽师县克孜勒苏乡巴什奥塔格（39）村产业配套项目</t>
  </si>
  <si>
    <t>总投资：386万元
建设内容：在克孜勒苏乡巴什奥塔格（39）村防渗改造渠道1条，配套渠系建筑物，长度3.41公里，设计流量0.5～0.2m³/s。</t>
  </si>
  <si>
    <t>jsx202564</t>
  </si>
  <si>
    <t>伽师县古勒鲁克乡巴什阿恰勒（16）村产业配套项目</t>
  </si>
  <si>
    <t>总投资：389万元
建设内容：在古勒鲁克乡巴什阿恰勒（16）村防渗改造渠道1条，配套渠系建筑物，长度3.702公里，设计流量0.8～0.5m³/s。</t>
  </si>
  <si>
    <t>jsx202565</t>
  </si>
  <si>
    <t>伽师县玉代克力克乡2025年村级产业配套项目</t>
  </si>
  <si>
    <t>总投资：1543万元
建设内容：防渗改造渠道2条，配套渠系建筑物，长度15.43公里，设计流量0.5-0.3m³/s。
1、玉代克力克乡依提帕克（9）村防渗改造渠道1条，配套渠系建筑物，长度5.6公里，设计流量0.5～0.4m³/s，投资560万元。
2、玉代克力克乡多兰买里斯（6）村防渗改造渠道1条，配套渠系建筑物，长度9.83公里，设计流量0.5～0.4m³/s，投资983万元。</t>
  </si>
  <si>
    <t>jsx202567</t>
  </si>
  <si>
    <t>伽师县玉代克力克乡乔拉克（10）村产业配套项目</t>
  </si>
  <si>
    <t>总投资：388万元
建设内容：在玉代克力克乡乔拉克（10）村防渗改造渠道1条，配套渠系建筑物，长度4.12公里，设计流量0.5-0.3m³/s.</t>
  </si>
  <si>
    <t>jsx202569</t>
  </si>
  <si>
    <t>伽师县巴仁镇2025年村级产业配套项目</t>
  </si>
  <si>
    <t>总投资：386万元
建设内容：防渗改造渠道8条，配套渠系建筑物，长度4.76公里，设计流量0.6～0.2m³/s。
1、巴仁镇琼巴格（4）村2.03公里，设计流量0.6～0.5m³/s，投资180万元；
2、巴仁镇阿热买里（5）村2.42公里，设计流量0.5～0.2m³/s，投资177万元；
3、巴仁镇巴合其（8）村0.31公里，设计流量0.2m³/s，投资29万元。</t>
  </si>
  <si>
    <t>巴水利局</t>
  </si>
  <si>
    <t>jsx202571</t>
  </si>
  <si>
    <t>伽师县西克尔库勒镇博斯坦（6）村产业配套项目</t>
  </si>
  <si>
    <t>总投资：388万元
建设内容：在西克尔库勒镇博斯坦（6）村防渗改造渠道1条，配套渠系建筑物，长度2.955公里，设计流量0.5-0.2m³/S。</t>
  </si>
  <si>
    <t>jsx202572</t>
  </si>
  <si>
    <t>伽师县西克尔库勒镇西克尔（29）村产业配套项目</t>
  </si>
  <si>
    <t>总投资：385万元
建设内容：在西克尔库勒镇西克尔（29）村防渗改造渠道1条，配套渠系建筑物，长度4.09公里，设计流量0.3-0.2m³/sm³/S。</t>
  </si>
  <si>
    <t>jsx202573</t>
  </si>
  <si>
    <t>伽师县小额贷款贴息项目</t>
  </si>
  <si>
    <t>总投资：2000万元
建设内容：对全县小额信贷17500户脱贫户、监测户进行贴息。</t>
  </si>
  <si>
    <t>财政局</t>
  </si>
  <si>
    <t>jsx202523</t>
  </si>
  <si>
    <t>伽师县铁日木乡温室大棚改造提升补助项目</t>
  </si>
  <si>
    <t>总投资：217万元
建设内容：对铁日木乡仓（8）村217座温室大棚进行改造提升补助，10000元/座。</t>
  </si>
  <si>
    <t>铁日木乡人民政府</t>
  </si>
  <si>
    <t>jsx2025122</t>
  </si>
  <si>
    <t>伽师县家禽养殖场电力提升改造项目</t>
  </si>
  <si>
    <t>总投资：389万元
建设内容：新建10KV电力开闭所两座，采用箱变形式，新建10KV电力线路，由原有老化线路改为新线路进行敷设，电线杆及配电室为原有，部分破损电杆及线路需换新。</t>
  </si>
  <si>
    <t>jsx202510</t>
  </si>
  <si>
    <t>伽师县克孜勒博依镇英艾日克（8）村、巴格艾日克（9）村产业配套项目</t>
  </si>
  <si>
    <t>总投资：350万元
建设内容：为保障克孜勒博依镇用水安全减少水资源浪费，完善2个村水渠及配套建筑物，每公里投资110万元，流量0.5-0.2，长度分别为英艾日克（8）村2.4公里、巴格艾日克（9）村0.99公里，共计3.39公里。</t>
  </si>
  <si>
    <t>jsx202549</t>
  </si>
  <si>
    <t>伽师县克孜勒苏乡拜什塔木（26）村2025 年产业配套项目</t>
  </si>
  <si>
    <t>总投资：350 万元，
伽师县克孜勒苏乡拜什塔木（26）村新建防渗渠道 1 条，总长 2.869km，需配套建筑物 37 座，其中节制分水闸 10 座，分水闸 22 座，农桥 3 座，连接段 1 座，测流桥 1 座。</t>
  </si>
  <si>
    <t>jsx202511</t>
  </si>
  <si>
    <t>伽师县食品加工厂房改造提升项目</t>
  </si>
  <si>
    <t>总投资：350万元
建设内容：在工业园区冷链物流基地改造一个标准化厂房1869平方米，用于加工牛肉番茄酱。项目包括处理车间、制酱车间、罐装车间及水电气等基础设施改造。</t>
  </si>
  <si>
    <t>工业园区</t>
  </si>
  <si>
    <t>jsx202512</t>
  </si>
  <si>
    <t>伽师县新梅深加工附属配套项目</t>
  </si>
  <si>
    <t>总投资：350万元
建设内容：对居仁镇喀热喀什（26）村新梅加工厂开展附属配套</t>
  </si>
  <si>
    <t>jsx202524</t>
  </si>
  <si>
    <t>伽师县夏普吐勒镇托什坎拉（17）村2025年新梅晾晒房建设项目</t>
  </si>
  <si>
    <t>总投资：380万元
建设内容：在夏普吐勒镇托什坎拉（17）村新建新梅晾晒房2324.84平方米及配套附属设施。</t>
  </si>
  <si>
    <t>jsx202542</t>
  </si>
  <si>
    <t>伽师县居仁镇布鲁胡其（16）村2025年村级产业配套项目</t>
  </si>
  <si>
    <r>
      <rPr>
        <sz val="20"/>
        <rFont val="宋体"/>
        <charset val="134"/>
      </rPr>
      <t>总投资：376万元
建设内容：居仁镇布鲁胡其（16）村防渗改造渠道1条，配套渠系建筑物，长度4.75公里，设计流量0.2～0.5m</t>
    </r>
    <r>
      <rPr>
        <sz val="20"/>
        <rFont val="方正书宋_GBK"/>
        <charset val="134"/>
      </rPr>
      <t>³</t>
    </r>
    <r>
      <rPr>
        <sz val="20"/>
        <rFont val="宋体"/>
        <charset val="134"/>
      </rPr>
      <t>/s，</t>
    </r>
  </si>
  <si>
    <t>jsx202543</t>
  </si>
  <si>
    <t>伽师县玉代克力克乡英买里（11）村产业配套项目</t>
  </si>
  <si>
    <r>
      <rPr>
        <sz val="20"/>
        <rFont val="宋体"/>
        <charset val="134"/>
      </rPr>
      <t>总投资：389万
建设内容：为玉代克力克乡英买里（11）村新建防渗渠道4.3公里及配套附属设施，设计流量：0.5-0.3m</t>
    </r>
    <r>
      <rPr>
        <sz val="20"/>
        <rFont val="方正书宋_GBK"/>
        <charset val="134"/>
      </rPr>
      <t>³</t>
    </r>
    <r>
      <rPr>
        <sz val="20"/>
        <rFont val="宋体"/>
        <charset val="134"/>
      </rPr>
      <t>/s。</t>
    </r>
  </si>
  <si>
    <t>jsx2025124</t>
  </si>
  <si>
    <t>伽师县卧里托格拉克镇防渗渠2025年中央财政以工代赈项目</t>
  </si>
  <si>
    <t>总投资：305万元
建设内容：新建防渗渠3.8公里及其相关附属设施等。设计流量0.2-0.15m3/s。其中：喀热尤勒滚（25）村2.34公里、托盖欧勒迪（26）村1.46公里。</t>
  </si>
  <si>
    <t>3乡、发改委、项目涉及乡镇</t>
  </si>
  <si>
    <t>jsx2025126</t>
  </si>
  <si>
    <t>伽师县和夏阿瓦提镇其日克（18）村产业配套项目</t>
  </si>
  <si>
    <r>
      <rPr>
        <sz val="20"/>
        <rFont val="宋体"/>
        <charset val="134"/>
      </rPr>
      <t>总投资：229万元
建设内容：在和夏阿瓦提镇其日克（18）村改造防渗渠道，配套渠系建筑物，长度2.197公里，设计流量0.22m</t>
    </r>
    <r>
      <rPr>
        <sz val="20"/>
        <rFont val="方正书宋_GBK"/>
        <charset val="134"/>
      </rPr>
      <t>³</t>
    </r>
    <r>
      <rPr>
        <sz val="20"/>
        <rFont val="宋体"/>
        <charset val="134"/>
      </rPr>
      <t>/s。</t>
    </r>
  </si>
  <si>
    <t>统战部、项目涉及乡镇7乡</t>
  </si>
  <si>
    <t>jsx2025127</t>
  </si>
  <si>
    <t>伽师县和夏阿瓦提镇夏勒克（15）村产业配套项目</t>
  </si>
  <si>
    <t>总投资：170万元
建设内容：在和夏阿瓦提镇夏勒克（15）村改造防渗渠道，配套渠系建筑物，长度1.471公里，设计流量0.3m³/s。</t>
  </si>
  <si>
    <t>二</t>
  </si>
  <si>
    <t>就业增收</t>
  </si>
  <si>
    <t>jsx202574</t>
  </si>
  <si>
    <t>伽师县公益性岗位补助项目</t>
  </si>
  <si>
    <t>总投资：3780万元
建设内容：在伽师县13个乡镇310个村安置公益性岗位（脱贫户及监测户）1800名，补助标准：1750元/人/月</t>
  </si>
  <si>
    <t>农业农村局、各乡镇</t>
  </si>
  <si>
    <t>jsx202575</t>
  </si>
  <si>
    <t>伽师县2025年农村道路管护人员补助项目</t>
  </si>
  <si>
    <t>总投资：1504.8万元
建设内容：13个乡镇1254名护路员公益性岗位进行工资补助，每人每月1000元。</t>
  </si>
  <si>
    <t>交通局</t>
  </si>
  <si>
    <t>jsx202576</t>
  </si>
  <si>
    <t>伽师县脱贫劳动力（含监测户）一次性交通补助项目</t>
  </si>
  <si>
    <t>总投资：1040万元
建设内容：对伽师县当年疆内（外）就业时间不少于3个月的8000名脱贫劳动力（含监测户）进行交通补助。补助标准：疆内跨地州1000元/人/年，疆外2000元/人/年。</t>
  </si>
  <si>
    <t>人社局、项目涉及乡镇</t>
  </si>
  <si>
    <t>jsx202577</t>
  </si>
  <si>
    <t>伽师县脱贫群众自主创业补助项目</t>
  </si>
  <si>
    <t>总投资：315.6万元
建设内容：为全县13个乡镇241个村1809户脱贫户（含监测户）自主创业进行补助。要求生产或经营面积超过20平方米（含）以上，正常经营6个月的，提供营业执照等印证资料，验收确认后每户补助2000元；生产或经营面积不足20平方米（包括餐车、零售点等移动式摊位），正常经营3个月的，由村委会进行确认无误的，每户补助1000元。
一、符合2000元标准的脱贫户、监测户共计248个村1347户269.4万元。
1、英买里镇20个村161户32.2万元。2、江巴孜乡27个村166户33.2万元。
3、卧里托格拉克镇25个村104户20.8万元。4、克孜勒博依镇30个村202户40.4万元。
5、米夏乡15个村88户17.6万元。6、夏普吐勒镇15个村61户12.2万元。
7、和夏阿瓦提镇21个村93户18.6万元。8、克孜勒苏乡23个村188户37.6万元。
9、古勒鲁克乡23个村118户23.6万元。10、玉代克力克乡12个村85户17万元。
11、铁日木乡9个村27户5.4万元。12、巴仁镇7个村10户2万元。
13、西克尔库勒镇21个村44户8.8万元。
二、符合1000元标准的脱贫户、监测户共计138个村462户46.2万元。
1、英买里镇10个村33户3.3万元。2、江巴孜乡20个村58户5.8万元。
3、卧里托格拉克镇14个村29户2.9万元。4、克孜勒博依镇23个村90户9万元。
5、米夏乡5个村10户1万元。6、夏普吐勒镇8个村22户2.2万元。
7、和夏阿瓦提镇13个村39户3.9万元。8、克孜勒苏乡2个村15户1.5万元。
9、古勒鲁克乡12个村42户4.2万元。10、玉代克力克乡5个村15户1.5万元。
11、铁日木乡5个村40户4万元。12、巴仁镇8个村38户3.8万元。
13、西克尔库勒镇13个村31户3.1万元。</t>
  </si>
  <si>
    <t>三</t>
  </si>
  <si>
    <t>乡村建设</t>
  </si>
  <si>
    <t>jsx202580</t>
  </si>
  <si>
    <t>伽师县2025年西克尔库勒镇农村村组道路建设项目</t>
  </si>
  <si>
    <t>总投资：2800万元
建设内容：西克尔库勒镇4个村28.21公里，其中：库木库坦（1）村0.7公里、尤古买希勒克（10）村0.45公里、萨尔吾斯（11）村2.5公里、向阳（17）村0.94公里、尤库日买里（24）村9.1公里、苏坎阿斯特村（26）村3.6公里、柯尔克孜吐格（27）村3.7公里、达西（28）村7.22公里。</t>
  </si>
  <si>
    <t>jsx202581</t>
  </si>
  <si>
    <t>伽师县2025年英买里镇、西克尔库勒镇产业路建设项目</t>
  </si>
  <si>
    <t>总投资：2800万元
建设内容：共修建产业路33.41公里。其中：1.英买里镇9个村27.47公里，投资2200万元：阿亚克库木艾日克（2）村0.81公里、墩艾日克（3）村2.18公里、墩迪瓦依（5）村3.29公里、吐孜鲁克（9）村2.43公里、巴什兰干（13）村5.02公里、兰帕（16）村0.49公里、英阿瓦提（17）村1.59公里、古再（18）村5.98公里、拉依力克（20）村5.68公里。
2、西克尔库勒镇3个村5.94公里，投资600万元：克日克塔木（2）村1.7公里、达西（28）村1.4公里、西克尔（29）村2.84公里。</t>
  </si>
  <si>
    <t>jsx2025118</t>
  </si>
  <si>
    <t>伽师县2025年西克尔库勒镇、铁日木乡产业路建设项目</t>
  </si>
  <si>
    <t>总投资：377万元
建设内容：共修建产业路3.77公里。其中：西克尔库勒镇西克尔（29）村3.11公里；铁日木乡阿亚格铁日木（5）村0.66公里。</t>
  </si>
  <si>
    <t>jsx202585</t>
  </si>
  <si>
    <t>伽师县西克尔库勒镇库木库坦（1）村农村道路建设项目</t>
  </si>
  <si>
    <t>总投资：399万元
建设内容：西克尔库勒镇库木库坦（1）村新建农村道路3.3公里及相关附属配套等。</t>
  </si>
  <si>
    <t>jsx202586</t>
  </si>
  <si>
    <t>伽师县古勒鲁克乡乡村道路2025年中央财政以工代赈项目</t>
  </si>
  <si>
    <t>总投资：379万元
建设内容：新建村组道路6.5公里及相关附属配套等。其中：巴什阿勒克库勒（9）村0.25公里、阿勒克库勒（10）村0.15公里、喀日木库木（11）村3.2公里、拜什塔木（12）村0.5公里、苏巴斯提 （21）村2.4公里。</t>
  </si>
  <si>
    <t>jsx202587</t>
  </si>
  <si>
    <t>伽师县玉代克力克乡农村道路2025年中央财政以工代赈项目</t>
  </si>
  <si>
    <t>总投资：385万元
建设内容：硬化入户路29000平方米及其附属设施等。其中：百合提（2）村1031平方米、阿娜尔（3）村1772平方米、阿力囤托格拉克（4）村2250平方米、巴扎（5）村2500平方米、买代尼亚提买里斯（7）村2154平方米、拜什喀帕（8）村2000平方米、依提帕克（9）村12500平方米、英买里（11）村2293平方米、英艾日克（12）2500平方米。</t>
  </si>
  <si>
    <t>jsx202588</t>
  </si>
  <si>
    <t>伽师县米夏乡农村道路2025年中央财政以工代赈项目</t>
  </si>
  <si>
    <t>总投资：370万元
建设内容：硬化入户路29000平方米及其附属设施等。其中：其兰力克（8）村950平方米、伊勒提孜霍依拉（9）村675平方米、尤库日塔尔夏（11）村4075平方米、英巴格（12）村2275平方米、其拉克（13）村1250平方米、英买里（14）村3625平方米、托格日苏（15）村1050平方米、吐格巴斯特（16）村1825平方米、夏合亚迪（17）村350平方米、巴什英温（18）村3175平方米、阿亚格英温（19）村5500平方米、巴什欧依托格拉克（20）村2625平方米、阿亚格欧依托格拉克（21）村1625平方米。</t>
  </si>
  <si>
    <t>jsx202589</t>
  </si>
  <si>
    <t>伽师县克孜勒博依镇农村道路2025年中央财政以工代赈项目</t>
  </si>
  <si>
    <t>总投资：376万元
建设内容：硬化入户路31300平方米及其附属设施等。
其中：居维其（2）村350平方米、库木买里斯（3）村2000平方米、阿娜尔库勒（5）村1700平方米、巴格艾日克（9）村700平方米、英阿依马克（11）村1500平方米、托万阿热克什拉克（20）村16900平方米、恰瓦拉（27）村1650平方米、博迪马勒（30）村2200平方米、喀拉央塔克（31）村1100平方米、曲如其（33）村3200平方米。</t>
  </si>
  <si>
    <t>jsx202590</t>
  </si>
  <si>
    <t>伽师县江巴孜乡农村道路2025年中央财政以工代赈项目</t>
  </si>
  <si>
    <t>总投资：350万元
建设内容：硬化入户路28000平方米及相关附属配套等，投资350万元。其中：尤库日吐格曼贝西（19）村8000平方米；拍什塔克（20）村4600平方米；尕勒（21）村5200平方米；克其克江巴孜（22）村5000平方米；托万尕勒（23）村5200平方米。</t>
  </si>
  <si>
    <t>jsx202591</t>
  </si>
  <si>
    <t>伽师县英买里镇2025年入户路建设项目</t>
  </si>
  <si>
    <t>总投资：387万元
建设内容：英买里镇6个村硬化32250平方米入户路及配套附属，每平方米补助120元。其中：
1、吐孜鲁克（9）村1800平方米。
2、英买里（10）村3000平方米。
3、巴什兰干（13）村7500平方米。
4、克孜勒巴依拉克村（15）村7500平方米。
5、兰帕（16）村6200平方米。
6、古再（18）村6250平方米。</t>
  </si>
  <si>
    <t>jsx202595</t>
  </si>
  <si>
    <t>伽师县米夏乡2025年入户路建设项目</t>
  </si>
  <si>
    <t>总投资：387万元
建设内容：米夏乡8个村硬化32250平方米入户路及配套附属，每平方米补助120元。其中：江尕勒霍依拉（1）村3650平方米、恰喀（2）村6025平方米、琼库尔克什拉克（3）村7165平方米、喀孜艾日克（4）村3950平方米、琼霍伊拉（5）村1010平方米、米夏（6）村4868平方米、托万塔尔夏（7）村4047平方米、英塔木（10）村1535平方米。</t>
  </si>
  <si>
    <t>jsx202596</t>
  </si>
  <si>
    <t>伽师县夏普吐勒镇2025年入户路建设项目</t>
  </si>
  <si>
    <t>总投资：315万元
建设内容：夏普吐勒镇7个村硬化26250平方米入户路及配套附属，每平方米补助120元。其中：扎滚拉（3）村4570平方米、巴依艾日克（13）村3210平方米、喀赞库勒（14）村4370平方米、巴依托喀依（18）村4300平方米、恰依拉（19）村5440平方米、央艾日克（23）村1470平方米、红旗（24）村2890平方米。</t>
  </si>
  <si>
    <t>jsx202598</t>
  </si>
  <si>
    <t>伽师县克孜勒苏乡2025年入户路建设项目</t>
  </si>
  <si>
    <t>总投资：384万元
建设内容：克孜勒苏乡14个村硬化32000平方米入户路及配套附属，每平方米补助120元。其中：巴什栏杆（1）村3772.5平方米、阿亚克兰干（2）村2000平方米、库木巴格（3）村2000平方米、巴什勒格勒德玛（5）村2000平方米、勒格勒德玛（6）村2000平方米、阿亚格勒格勒德玛（7）村3950平方米、央艾日克（12）村1500平方米、阔什托格拉克（13）村1500平方米、约勒其（16）村3000平方米、塔格艾日克（17）村998.5平方米、古里巴什（18）村2000平方米、翁艾日克（19）村1858平方米、巴什温塔木（25）村2085平方米、拜什塔木（26）村3336平方米。</t>
  </si>
  <si>
    <t>jsx2025100</t>
  </si>
  <si>
    <t>伽师县玉代克力克乡2025年入户路建设项目</t>
  </si>
  <si>
    <t>总投资：384万元
建设内容：为玉代克力克乡12个村硬化32000平方米入户路及配套附属，每平方米补助120元。
其中：堂来恰普提（1）村9736平方米，百合提（2）村2629平方米，阿娜尔（3）村901.52平方米，阿里囤托格拉克（4）村944.5平方米，巴扎（5）村1111.5平方米，多兰买里斯（6）村5838平方米，买代尼亚提买里斯（7）村3944.91平方米，拜什喀帕（8）村1677.3平方米，依提帕克（9）村444.5平方米，乔拉克（10）村2131.27平方米，英买里（11）村2197平方米，英艾日克（12）村444.5平方米。</t>
  </si>
  <si>
    <t>jsx2025101</t>
  </si>
  <si>
    <t>伽师县铁日木乡2025年入户路建设项目</t>
  </si>
  <si>
    <t>总投资：387万元
建设内容：铁日木乡12个村硬化32250平方米入户路及配套附属，每平方米补助120元。
其中：铁格艾日克（1）村5966.3平方米、霍加艾日克（2）村1000.2平方米、托哈艾热克（3）村3250平方米、巴什铁日木（4）村212.5平方米、阿亚格铁日木（5）村3596.4平方米、明克什拉克（6）村4604.5平方米、兰干（7）村2345平方米、仓（8）村2041.1平方米、恰央恰克提（9）村6579平方米、阿亚格兰干（10）村730平方米、幸福（11）村1275平方米、铁日木（12）村650平方米。</t>
  </si>
  <si>
    <t>jsx2025102</t>
  </si>
  <si>
    <t>伽师县西克尔库勒镇2025年入户路建设项目</t>
  </si>
  <si>
    <t>总投资：342万元
建设内容：西克尔库勒镇28个村硬化28500平方米入户路及配套附属，每平方米补助120元。其中：库木库坦（1）村1020平方米、克日克塔木（2）村1020平方米、源泉（3）村1020平方米、多来提巴格（4）村1020平方米、库木科勒（5）村1020平方米、博斯坦（6）村1020平方米、比纳木（7）村1020平方米、和谐（8）村1020平方米、莫玛墩（9）村1020平方米、尤古买希勒克（10）村990平方米、萨尔吾斯（11）村1020平方米、富民（12）村1020平方米、阿恰勒（13）村1020平方米、阔若克（14）村1020平方米、桥头（15）村户1020平方米、金瓜（16）村1020平方米、向阳（17）村1020平方米、阿吉勒格里克村（18）村1020平方米、胡杨（19）村1020平方米、红山（20）村990平方米、恰拉欧萨（21）村1020平方米、阳光（22）村1020平方米、希望（23）村1020平方米、尤库日买里（24）村1020平方米、夏普吐勒买里斯（25）村1020平方米、苏坎阿斯特（26）村1020平方米、柯尔克孜吐格（27）村1020平方米、达西（28）村1020平方米。</t>
  </si>
  <si>
    <t>jsx2025103</t>
  </si>
  <si>
    <t>伽师县英买里镇2025年农村污水处理项目</t>
  </si>
  <si>
    <t>总投资：252万元
建设内容：对英买里镇英买里（10）村126户居住区进行污水处理改造，接入市政排水管网：铺设污水管网4.7公里并配套附属设施。</t>
  </si>
  <si>
    <t>jsx2025104</t>
  </si>
  <si>
    <t>伽师县江巴孜乡2025年农村污水处理项目</t>
  </si>
  <si>
    <t>总投资：700万元
建设内容：新建排水管网DN400主干管8.9公里，入户管DN110支管6公里，成品预制装配式混凝土检查井470座，提升泵站及配套设备11座，路面恢复3200平方米等。</t>
  </si>
  <si>
    <t>jsx2025107</t>
  </si>
  <si>
    <t>伽师县江巴孜乡2025年垃圾处理建设项目</t>
  </si>
  <si>
    <t>总投资：800万元
建设内容：新建生活垃圾处理设备用房600平方米及附属配套、采购日处理5吨生活垃圾处理设备1套及其相关配套服务设备。</t>
  </si>
  <si>
    <t>jsx2025108</t>
  </si>
  <si>
    <t>伽师县卧里托格拉克镇2025年垃圾处理建设项目</t>
  </si>
  <si>
    <t>总投资：800万元
建设内容：在卧里托格拉克镇巴扎（28）村新建生活垃圾处理设备用房1094.9平方米及附属配套。采购日处理量5吨生活垃圾处理设备1套、8吨垃圾清运车2辆及其相关配套设备。</t>
  </si>
  <si>
    <t>jsx2025109</t>
  </si>
  <si>
    <t>伽师县克孜勒博依镇2025年垃圾处理建设项目</t>
  </si>
  <si>
    <t>总投资：800万元
建设内容：在克孜勒博依镇铁热克博斯坦（28）村采购日处理5吨生活垃圾处理设备1套及其相关配套设备，包含设备运输、安装、调试。建设设备用房、业务用房等配套设施。</t>
  </si>
  <si>
    <t>jsx2025110</t>
  </si>
  <si>
    <t>伽师县和夏阿瓦提镇2025年垃圾处理建设项目</t>
  </si>
  <si>
    <t>总投资：800万元
建设内容：在和夏阿瓦提镇墩吕克（17）村采购日处理5吨生活垃圾处理设备1套、2个垃圾转运车及其相关配套设备，包含设备运输、安装、调试。新建地上1层框架结构建筑面积为597.80平方米设备用房、业务用房1栋及配套设施。</t>
  </si>
  <si>
    <t>jsx2025111</t>
  </si>
  <si>
    <t>伽师县西克尔库勒镇灾后易地重建西克尔村道路及配套附属工程建设项目</t>
  </si>
  <si>
    <t>总投资：计划4000万元，其中：援疆资金3490万元、衔接资金510万元（衔接资金仅支持给排水、灌溉等附属配套设施）。
建设内容：新建道路2130米及给排水、灌溉等附属配套设施。</t>
  </si>
  <si>
    <t>jsx2025116</t>
  </si>
  <si>
    <t>伽师县英买里镇2025年美丽宜居村产业路建设项目</t>
  </si>
  <si>
    <t>总投资385万元
建设内容：新建产业路3.85公里及配套附属</t>
  </si>
  <si>
    <t>jsx202503</t>
  </si>
  <si>
    <t>伽师县英买里镇2025年美丽宜居村入户路硬化项目</t>
  </si>
  <si>
    <t>总投资339万元
建设内容：硬化入户路28207平方米及配套附属</t>
  </si>
  <si>
    <t>jsx202507</t>
  </si>
  <si>
    <t>伽师县英买里镇2025年美丽宜居村产业配套建设项目</t>
  </si>
  <si>
    <t>总投资298万元
建设内容：防渗改造渠道4条，配套渠系建筑物，长度3.32公里，设计流量1～0.2m³/s</t>
  </si>
  <si>
    <t>jsx202508</t>
  </si>
  <si>
    <t>伽师县英买里镇2025年美丽宜居村经济林带种植项目</t>
  </si>
  <si>
    <t>总投资120万元
建设内容：道路两旁开展经济林带建设，采购经济苗木23000株</t>
  </si>
  <si>
    <t>jsx2025117</t>
  </si>
  <si>
    <t>伽师县米夏乡2025年美丽宜居村建设项目</t>
  </si>
  <si>
    <r>
      <rPr>
        <sz val="20"/>
        <rFont val="宋体"/>
        <charset val="134"/>
      </rPr>
      <t>总投资：衔接资金1440万元
建设内容：
衔接资金用于：新建防渗渠道6.444公里、设计流量0.16-0.1m</t>
    </r>
    <r>
      <rPr>
        <sz val="20"/>
        <rFont val="方正书宋_GBK"/>
        <charset val="134"/>
      </rPr>
      <t>³</t>
    </r>
    <r>
      <rPr>
        <sz val="20"/>
        <rFont val="宋体"/>
        <charset val="134"/>
      </rPr>
      <t>/s，村组道路5.9公里，道路加宽20327平方米；购置垃圾转运车3辆、垃圾分类仓5套、垃圾桶330个等相关配套附属设施。</t>
    </r>
  </si>
  <si>
    <t>jsx202593</t>
  </si>
  <si>
    <t>伽师县卧里托格拉克镇2025年入户路建设项目</t>
  </si>
  <si>
    <t>总投资：387万元
建设内容：卧里托格拉克镇3个村硬化32250平方米入户路及配套附属，每平方米补助120元。其中：英巴格（6）村5700平方米、乌堂（20）村7500平方米、龙口（16）村19050平方米。</t>
  </si>
  <si>
    <t>jsx202597</t>
  </si>
  <si>
    <t>伽师县和夏阿瓦提镇2025年入户路建设项目</t>
  </si>
  <si>
    <t>总投资：387万元
建设内容：入户路建设并配套附属，共计28254平方米。为和夏阿瓦提镇6个村硬化28254平方米的入户路，其中:英艾日克（7）村4514平方米、托玛贝希（16）村4945平方米、墩吕克（17）村1450平方米、喀热萨（25）村6281平方米、亚格其阿依万（31）村3305平方米、幸福（33）村7759平方米</t>
  </si>
  <si>
    <t>jsx202599</t>
  </si>
  <si>
    <t>伽师县古勒鲁克乡2025年入户路建设项目</t>
  </si>
  <si>
    <t>总投资：387万元
建设内容：古勒鲁克乡9个村硬化32250平方米入户路及配套附属，每平方米补助120元。其中：阿克提坎（8）村5600平方米、巴什阿勒克库勒（9）村5500平方米、拜什塔木（12）村4000平方米、阿亚格科克塔勒（15）村2700平方米、巴什阿恰勒（16）村3330平方米、堂力其（18）村4000平方米、科克塔勒（19）村3600平方米、苏巴斯提（21）村1820平方米、呕吐拉拜什塔木（24）村1700平方米。</t>
  </si>
  <si>
    <t>jsx2025120</t>
  </si>
  <si>
    <t>伽师县克孜勒苏乡2025年入户路建设项目（二期）</t>
  </si>
  <si>
    <t>总投资：384万元
建设内容：克孜勒苏乡10个村硬化32000平方米入户路及附属配套设施，其中：巴什温塔木（25）村2000平方米、其兰巴格（32）村2000平方米、英巴格（33）村3000平方米、吾斯塘博依（34）村3000平方米、阿克墩（35）村4000平方米、托库勒（36）村4000平方米、阿亚格奥依塔格（37）村4000平方米、吾依塔格（38）村4000平方米、巴什奥塔格（39）村3000平方米、托格拉克勒克（40）村3000平方米。</t>
  </si>
  <si>
    <t>jsx202551</t>
  </si>
  <si>
    <t>伽师县克孜勒博依镇2025年农村村组道路建设项目</t>
  </si>
  <si>
    <t>总投资：384万元
建设内容：共修建村组道路31000平方米，其中，古力巴格（22）村13500平方米、色满（23）村10700平方米、恰瓦拉（27）村3600平方米、科克通鲁克（34）村3200平方米。</t>
  </si>
  <si>
    <t>jsx202520</t>
  </si>
  <si>
    <t>伽师县2025年铁日木乡村组道路建设项目</t>
  </si>
  <si>
    <t xml:space="preserve">投资：450万元
建设内容：在铁日木乡2个村农村村组道路3.74公里，其中：铁日木阿亚格铁日木（5）村2.63公里，仓（8）村1.1公里。                                                                                                                    </t>
  </si>
  <si>
    <t>jsx202516</t>
  </si>
  <si>
    <t>伽师县西克尔库勒镇灾后易地重建基础设施建设项目</t>
  </si>
  <si>
    <t>总投资：900万元
建设内容：新建基础设施 2637.8平方米，地上二层，框架结构;并配套建设室外给排水，供电，供暖以及道路硬化等附属设施。</t>
  </si>
  <si>
    <t>jsx202521</t>
  </si>
  <si>
    <t>伽师县英买里镇克皮乃克（6）村2025年入户路建设项目</t>
  </si>
  <si>
    <t>总投资：384万元。
建设内容：在英买里镇克皮乃克（6）村硬化32000平方米入户路及配套附属，每平方米补助120元。</t>
  </si>
  <si>
    <t>jsx2025125</t>
  </si>
  <si>
    <t xml:space="preserve">伽师县西克尔库勒镇乡村道路2025年中央财政以工代赈项目 </t>
  </si>
  <si>
    <t>总投资：318万元
建设内容：对西克尔库勒镇库木科勒（5）村、博斯坦（6）村、比纳木（7）村、和谐（8）村、莫玛墩（9）村硬化道路24000平方米及其附属设施。</t>
  </si>
  <si>
    <t>（西克尔）发改委、项目涉及乡镇</t>
  </si>
  <si>
    <t>jsx2025128</t>
  </si>
  <si>
    <t>伽师县克孜勒博依镇易地搬迁安置点后续提升改造项目</t>
  </si>
  <si>
    <t>总投资：119.58万元
建设内容：提升改造易地搬迁点活动中心和文化广场及配套附属设施，铺设管网4公里，新建村组道路6000平方米。</t>
  </si>
  <si>
    <t>四</t>
  </si>
  <si>
    <t>巩固三保障成果</t>
  </si>
  <si>
    <t>jsx2025112</t>
  </si>
  <si>
    <t>伽师县2025年“雨露计划”职业教育补助项目</t>
  </si>
  <si>
    <t>总投资：3000万元
建设内容：对疆内外在册就读中高等职业教育伽师籍脱贫户、监测户学生家庭进行补助。补助人数10000人，每人补助3000元。</t>
  </si>
  <si>
    <t>农业农村局，项目涉及乡镇</t>
  </si>
  <si>
    <t>五</t>
  </si>
  <si>
    <t>项目管理费</t>
  </si>
  <si>
    <t>jsx2025114</t>
  </si>
  <si>
    <t>伽师县2025年项目服务费</t>
  </si>
  <si>
    <t>总投资：260万元
建设内容：用于项目前期设计、评审、招标、监理以及验收等与项目管理相关支出。</t>
  </si>
  <si>
    <t>农业农村局</t>
  </si>
  <si>
    <t>六</t>
  </si>
  <si>
    <t>其他</t>
  </si>
  <si>
    <t>jsx2025115</t>
  </si>
  <si>
    <t>伽师县“健康饮茶”“送茶入户”项目</t>
  </si>
  <si>
    <t>总投资：46万元
建设内容：为伽师县9387户监测帮扶对象发放低氟边销茶，按照每户2公斤进行发放。</t>
  </si>
  <si>
    <t>统战部</t>
  </si>
  <si>
    <t>七</t>
  </si>
  <si>
    <t>易地搬迁后扶</t>
  </si>
  <si>
    <t>jsx2025113</t>
  </si>
  <si>
    <t>伽师县易地扶贫地方政府债券贴息补助项目</t>
  </si>
  <si>
    <t>总投资：70万元
建设内容：对自治区易地扶贫搬迁融资模式调整规范后的地方政府债券贴息。</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</si>
</sst>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s>
  <fonts count="43">
    <font>
      <sz val="11"/>
      <color theme="1"/>
      <name val="宋体"/>
      <charset val="134"/>
      <scheme val="minor"/>
    </font>
    <font>
      <sz val="18"/>
      <color theme="1"/>
      <name val="黑体"/>
      <charset val="134"/>
    </font>
    <font>
      <sz val="20"/>
      <color theme="1"/>
      <name val="黑体"/>
      <charset val="134"/>
    </font>
    <font>
      <sz val="20"/>
      <color theme="1"/>
      <name val="宋体"/>
      <charset val="134"/>
      <scheme val="minor"/>
    </font>
    <font>
      <sz val="11"/>
      <name val="宋体"/>
      <charset val="134"/>
      <scheme val="minor"/>
    </font>
    <font>
      <sz val="20"/>
      <color theme="1"/>
      <name val="方正仿宋_GBK"/>
      <charset val="134"/>
    </font>
    <font>
      <sz val="20"/>
      <color theme="1"/>
      <name val="宋体"/>
      <charset val="134"/>
    </font>
    <font>
      <sz val="36"/>
      <name val="方正小标宋_GBK"/>
      <charset val="134"/>
    </font>
    <font>
      <sz val="18"/>
      <name val="黑体"/>
      <charset val="134"/>
    </font>
    <font>
      <sz val="20"/>
      <name val="黑体"/>
      <charset val="134"/>
    </font>
    <font>
      <sz val="20"/>
      <name val="宋体"/>
      <charset val="134"/>
    </font>
    <font>
      <sz val="14"/>
      <name val="宋体"/>
      <charset val="134"/>
    </font>
    <font>
      <sz val="16"/>
      <name val="宋体"/>
      <charset val="134"/>
    </font>
    <font>
      <sz val="18"/>
      <color theme="1"/>
      <name val="宋体"/>
      <charset val="134"/>
      <scheme val="minor"/>
    </font>
    <font>
      <sz val="12"/>
      <color theme="1"/>
      <name val="宋体"/>
      <charset val="134"/>
      <scheme val="minor"/>
    </font>
    <font>
      <u/>
      <sz val="11"/>
      <color rgb="FF800080"/>
      <name val="宋体"/>
      <charset val="0"/>
      <scheme val="minor"/>
    </font>
    <font>
      <i/>
      <sz val="11"/>
      <color rgb="FF7F7F7F"/>
      <name val="宋体"/>
      <charset val="0"/>
      <scheme val="minor"/>
    </font>
    <font>
      <sz val="11"/>
      <color rgb="FFFF0000"/>
      <name val="宋体"/>
      <charset val="0"/>
      <scheme val="minor"/>
    </font>
    <font>
      <sz val="11"/>
      <color theme="0"/>
      <name val="宋体"/>
      <charset val="0"/>
      <scheme val="minor"/>
    </font>
    <font>
      <sz val="11"/>
      <color rgb="FFFA7D00"/>
      <name val="宋体"/>
      <charset val="0"/>
      <scheme val="minor"/>
    </font>
    <font>
      <sz val="11"/>
      <color rgb="FF9C0006"/>
      <name val="宋体"/>
      <charset val="0"/>
      <scheme val="minor"/>
    </font>
    <font>
      <sz val="11"/>
      <color theme="1"/>
      <name val="宋体"/>
      <charset val="0"/>
      <scheme val="minor"/>
    </font>
    <font>
      <b/>
      <sz val="11"/>
      <color theme="1"/>
      <name val="宋体"/>
      <charset val="0"/>
      <scheme val="minor"/>
    </font>
    <font>
      <b/>
      <sz val="11"/>
      <color rgb="FF3F3F3F"/>
      <name val="宋体"/>
      <charset val="0"/>
      <scheme val="minor"/>
    </font>
    <font>
      <sz val="11"/>
      <color indexed="8"/>
      <name val="宋体"/>
      <charset val="134"/>
    </font>
    <font>
      <b/>
      <sz val="15"/>
      <color theme="3"/>
      <name val="宋体"/>
      <charset val="134"/>
      <scheme val="minor"/>
    </font>
    <font>
      <sz val="11"/>
      <color rgb="FF3F3F76"/>
      <name val="宋体"/>
      <charset val="0"/>
      <scheme val="minor"/>
    </font>
    <font>
      <sz val="11"/>
      <name val="宋体"/>
      <charset val="134"/>
    </font>
    <font>
      <u/>
      <sz val="11"/>
      <color rgb="FF0000FF"/>
      <name val="宋体"/>
      <charset val="0"/>
      <scheme val="minor"/>
    </font>
    <font>
      <sz val="11"/>
      <color rgb="FF9C6500"/>
      <name val="宋体"/>
      <charset val="0"/>
      <scheme val="minor"/>
    </font>
    <font>
      <sz val="12"/>
      <name val="宋体"/>
      <charset val="134"/>
    </font>
    <font>
      <b/>
      <sz val="11"/>
      <color rgb="FFFFFFFF"/>
      <name val="宋体"/>
      <charset val="0"/>
      <scheme val="minor"/>
    </font>
    <font>
      <sz val="10"/>
      <name val="宋体"/>
      <charset val="134"/>
    </font>
    <font>
      <b/>
      <sz val="11"/>
      <color theme="3"/>
      <name val="宋体"/>
      <charset val="134"/>
      <scheme val="minor"/>
    </font>
    <font>
      <sz val="11"/>
      <color rgb="FF006100"/>
      <name val="宋体"/>
      <charset val="0"/>
      <scheme val="minor"/>
    </font>
    <font>
      <b/>
      <sz val="18"/>
      <color theme="3"/>
      <name val="宋体"/>
      <charset val="134"/>
      <scheme val="minor"/>
    </font>
    <font>
      <b/>
      <sz val="11"/>
      <color rgb="FFFA7D00"/>
      <name val="宋体"/>
      <charset val="0"/>
      <scheme val="minor"/>
    </font>
    <font>
      <b/>
      <sz val="13"/>
      <color theme="3"/>
      <name val="宋体"/>
      <charset val="134"/>
      <scheme val="minor"/>
    </font>
    <font>
      <sz val="20"/>
      <name val="方正书宋_GBK"/>
      <charset val="134"/>
    </font>
    <font>
      <sz val="28"/>
      <name val="宋体"/>
      <charset val="134"/>
    </font>
    <font>
      <sz val="32"/>
      <name val="宋体"/>
      <charset val="134"/>
    </font>
    <font>
      <sz val="9"/>
      <name val="宋体"/>
      <charset val="134"/>
    </font>
    <font>
      <b/>
      <sz val="9"/>
      <name val="宋体"/>
      <charset val="134"/>
    </font>
  </fonts>
  <fills count="33">
    <fill>
      <patternFill patternType="none"/>
    </fill>
    <fill>
      <patternFill patternType="gray125"/>
    </fill>
    <fill>
      <patternFill patternType="solid">
        <fgColor theme="7"/>
        <bgColor indexed="64"/>
      </patternFill>
    </fill>
    <fill>
      <patternFill patternType="solid">
        <fgColor theme="7"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rgb="FFA5A5A5"/>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theme="5"/>
        <bgColor indexed="64"/>
      </patternFill>
    </fill>
    <fill>
      <patternFill patternType="solid">
        <fgColor theme="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4">
    <xf numFmtId="0" fontId="0" fillId="0" borderId="0">
      <alignment vertical="center"/>
    </xf>
    <xf numFmtId="42" fontId="0" fillId="0" borderId="0" applyFont="0" applyFill="0" applyBorder="0" applyAlignment="0" applyProtection="0">
      <alignment vertical="center"/>
    </xf>
    <xf numFmtId="0" fontId="21" fillId="7" borderId="0" applyNumberFormat="0" applyBorder="0" applyAlignment="0" applyProtection="0">
      <alignment vertical="center"/>
    </xf>
    <xf numFmtId="0" fontId="26" fillId="10" borderId="9" applyNumberFormat="0" applyAlignment="0" applyProtection="0">
      <alignment vertical="center"/>
    </xf>
    <xf numFmtId="44" fontId="0" fillId="0" borderId="0" applyFont="0" applyFill="0" applyBorder="0" applyAlignment="0" applyProtection="0">
      <alignment vertical="center"/>
    </xf>
    <xf numFmtId="0" fontId="27" fillId="0" borderId="0"/>
    <xf numFmtId="0" fontId="24" fillId="0" borderId="0">
      <alignment vertical="center"/>
    </xf>
    <xf numFmtId="41" fontId="0" fillId="0" borderId="0" applyFont="0" applyFill="0" applyBorder="0" applyAlignment="0" applyProtection="0">
      <alignment vertical="center"/>
    </xf>
    <xf numFmtId="0" fontId="21" fillId="5" borderId="0" applyNumberFormat="0" applyBorder="0" applyAlignment="0" applyProtection="0">
      <alignment vertical="center"/>
    </xf>
    <xf numFmtId="0" fontId="20" fillId="4"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6" borderId="11" applyNumberFormat="0" applyFont="0" applyAlignment="0" applyProtection="0">
      <alignment vertical="center"/>
    </xf>
    <xf numFmtId="0" fontId="18" fillId="20" borderId="0" applyNumberFormat="0" applyBorder="0" applyAlignment="0" applyProtection="0">
      <alignment vertical="center"/>
    </xf>
    <xf numFmtId="0" fontId="3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8" applyNumberFormat="0" applyFill="0" applyAlignment="0" applyProtection="0">
      <alignment vertical="center"/>
    </xf>
    <xf numFmtId="0" fontId="37" fillId="0" borderId="8" applyNumberFormat="0" applyFill="0" applyAlignment="0" applyProtection="0">
      <alignment vertical="center"/>
    </xf>
    <xf numFmtId="0" fontId="18" fillId="32" borderId="0" applyNumberFormat="0" applyBorder="0" applyAlignment="0" applyProtection="0">
      <alignment vertical="center"/>
    </xf>
    <xf numFmtId="0" fontId="33" fillId="0" borderId="12" applyNumberFormat="0" applyFill="0" applyAlignment="0" applyProtection="0">
      <alignment vertical="center"/>
    </xf>
    <xf numFmtId="0" fontId="18" fillId="3" borderId="0" applyNumberFormat="0" applyBorder="0" applyAlignment="0" applyProtection="0">
      <alignment vertical="center"/>
    </xf>
    <xf numFmtId="0" fontId="23" fillId="6" borderId="7" applyNumberFormat="0" applyAlignment="0" applyProtection="0">
      <alignment vertical="center"/>
    </xf>
    <xf numFmtId="0" fontId="36" fillId="6" borderId="9" applyNumberFormat="0" applyAlignment="0" applyProtection="0">
      <alignment vertical="center"/>
    </xf>
    <xf numFmtId="0" fontId="31" fillId="14" borderId="10" applyNumberFormat="0" applyAlignment="0" applyProtection="0">
      <alignment vertical="center"/>
    </xf>
    <xf numFmtId="0" fontId="21" fillId="27" borderId="0" applyNumberFormat="0" applyBorder="0" applyAlignment="0" applyProtection="0">
      <alignment vertical="center"/>
    </xf>
    <xf numFmtId="0" fontId="18" fillId="24" borderId="0" applyNumberFormat="0" applyBorder="0" applyAlignment="0" applyProtection="0">
      <alignment vertical="center"/>
    </xf>
    <xf numFmtId="0" fontId="19" fillId="0" borderId="5" applyNumberFormat="0" applyFill="0" applyAlignment="0" applyProtection="0">
      <alignment vertical="center"/>
    </xf>
    <xf numFmtId="0" fontId="22" fillId="0" borderId="6" applyNumberFormat="0" applyFill="0" applyAlignment="0" applyProtection="0">
      <alignment vertical="center"/>
    </xf>
    <xf numFmtId="0" fontId="34" fillId="23" borderId="0" applyNumberFormat="0" applyBorder="0" applyAlignment="0" applyProtection="0">
      <alignment vertical="center"/>
    </xf>
    <xf numFmtId="0" fontId="30" fillId="0" borderId="0">
      <alignment vertical="center"/>
    </xf>
    <xf numFmtId="0" fontId="29" fillId="13" borderId="0" applyNumberFormat="0" applyBorder="0" applyAlignment="0" applyProtection="0">
      <alignment vertical="center"/>
    </xf>
    <xf numFmtId="0" fontId="21" fillId="9" borderId="0" applyNumberFormat="0" applyBorder="0" applyAlignment="0" applyProtection="0">
      <alignment vertical="center"/>
    </xf>
    <xf numFmtId="0" fontId="18" fillId="8" borderId="0" applyNumberFormat="0" applyBorder="0" applyAlignment="0" applyProtection="0">
      <alignment vertical="center"/>
    </xf>
    <xf numFmtId="0" fontId="21" fillId="12" borderId="0" applyNumberFormat="0" applyBorder="0" applyAlignment="0" applyProtection="0">
      <alignment vertical="center"/>
    </xf>
    <xf numFmtId="0" fontId="21" fillId="31" borderId="0" applyNumberFormat="0" applyBorder="0" applyAlignment="0" applyProtection="0">
      <alignment vertical="center"/>
    </xf>
    <xf numFmtId="0" fontId="21" fillId="26" borderId="0" applyNumberFormat="0" applyBorder="0" applyAlignment="0" applyProtection="0">
      <alignment vertical="center"/>
    </xf>
    <xf numFmtId="0" fontId="21" fillId="19" borderId="0" applyNumberFormat="0" applyBorder="0" applyAlignment="0" applyProtection="0">
      <alignment vertical="center"/>
    </xf>
    <xf numFmtId="0" fontId="18" fillId="30" borderId="0" applyNumberFormat="0" applyBorder="0" applyAlignment="0" applyProtection="0">
      <alignment vertical="center"/>
    </xf>
    <xf numFmtId="0" fontId="18" fillId="2" borderId="0" applyNumberFormat="0" applyBorder="0" applyAlignment="0" applyProtection="0">
      <alignment vertical="center"/>
    </xf>
    <xf numFmtId="0" fontId="21" fillId="29" borderId="0" applyNumberFormat="0" applyBorder="0" applyAlignment="0" applyProtection="0">
      <alignment vertical="center"/>
    </xf>
    <xf numFmtId="0" fontId="21" fillId="18" borderId="0" applyNumberFormat="0" applyBorder="0" applyAlignment="0" applyProtection="0">
      <alignment vertical="center"/>
    </xf>
    <xf numFmtId="0" fontId="18" fillId="17" borderId="0" applyNumberFormat="0" applyBorder="0" applyAlignment="0" applyProtection="0">
      <alignment vertical="center"/>
    </xf>
    <xf numFmtId="0" fontId="21" fillId="11" borderId="0" applyNumberFormat="0" applyBorder="0" applyAlignment="0" applyProtection="0">
      <alignment vertical="center"/>
    </xf>
    <xf numFmtId="0" fontId="18" fillId="28" borderId="0" applyNumberFormat="0" applyBorder="0" applyAlignment="0" applyProtection="0">
      <alignment vertical="center"/>
    </xf>
    <xf numFmtId="0" fontId="18" fillId="25" borderId="0" applyNumberFormat="0" applyBorder="0" applyAlignment="0" applyProtection="0">
      <alignment vertical="center"/>
    </xf>
    <xf numFmtId="0" fontId="21" fillId="22" borderId="0" applyNumberFormat="0" applyBorder="0" applyAlignment="0" applyProtection="0">
      <alignment vertical="center"/>
    </xf>
    <xf numFmtId="0" fontId="18" fillId="21" borderId="0" applyNumberFormat="0" applyBorder="0" applyAlignment="0" applyProtection="0">
      <alignment vertical="center"/>
    </xf>
    <xf numFmtId="0" fontId="24" fillId="0" borderId="0"/>
    <xf numFmtId="0" fontId="32" fillId="0" borderId="0"/>
  </cellStyleXfs>
  <cellXfs count="4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0" fillId="0" borderId="0" xfId="0" applyFill="1" applyAlignment="1">
      <alignment horizontal="center" vertical="center"/>
    </xf>
    <xf numFmtId="0" fontId="4" fillId="0" borderId="0" xfId="0" applyFont="1" applyFill="1" applyAlignment="1">
      <alignment horizontal="center" vertical="center" wrapText="1"/>
    </xf>
    <xf numFmtId="0" fontId="4" fillId="0" borderId="0" xfId="0" applyNumberFormat="1" applyFont="1" applyFill="1" applyAlignment="1">
      <alignment horizontal="center" vertical="center"/>
    </xf>
    <xf numFmtId="10" fontId="0" fillId="0" borderId="0" xfId="0" applyNumberFormat="1" applyFill="1" applyAlignment="1">
      <alignment horizontal="center" vertical="center"/>
    </xf>
    <xf numFmtId="0" fontId="0" fillId="0" borderId="0" xfId="0" applyFill="1">
      <alignment vertical="center"/>
    </xf>
    <xf numFmtId="0" fontId="7" fillId="0" borderId="0" xfId="0" applyFont="1" applyFill="1" applyAlignment="1">
      <alignment horizontal="center"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0" fontId="1" fillId="0" borderId="1" xfId="13"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10" fontId="2" fillId="0" borderId="1" xfId="13"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0" xfId="0" applyFont="1" applyFill="1" applyAlignment="1">
      <alignment horizontal="center" vertical="center" wrapText="1"/>
    </xf>
    <xf numFmtId="0" fontId="13" fillId="0" borderId="1" xfId="0" applyNumberFormat="1" applyFont="1" applyFill="1" applyBorder="1" applyAlignment="1" applyProtection="1">
      <alignment horizontal="left" vertical="center" wrapText="1"/>
    </xf>
    <xf numFmtId="0" fontId="14" fillId="0" borderId="1" xfId="0"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xf>
    <xf numFmtId="0" fontId="3"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常规_2020年财政预算内" xfId="5"/>
    <cellStyle name="常规 13 2"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4" xfId="52"/>
    <cellStyle name="常规_sheet1" xfId="53"/>
  </cellStyles>
  <tableStyles count="0" defaultTableStyle="TableStyleMedium2"/>
  <colors>
    <mruColors>
      <color rgb="0092D050"/>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RU196"/>
  <sheetViews>
    <sheetView tabSelected="1" zoomScale="40" zoomScaleNormal="40" workbookViewId="0">
      <pane ySplit="5" topLeftCell="A110" activePane="bottomLeft" state="frozen"/>
      <selection/>
      <selection pane="bottomLeft" activeCell="H199" sqref="H199"/>
    </sheetView>
  </sheetViews>
  <sheetFormatPr defaultColWidth="7" defaultRowHeight="59" customHeight="1"/>
  <cols>
    <col min="1" max="1" width="10.6306306306306" style="8" customWidth="1"/>
    <col min="2" max="2" width="21.7837837837838" style="8" customWidth="1"/>
    <col min="3" max="3" width="64.8558558558559" style="9" customWidth="1"/>
    <col min="4" max="4" width="9.99099099099099" style="8" customWidth="1"/>
    <col min="5" max="5" width="25.8828828828829" style="8" customWidth="1"/>
    <col min="6" max="6" width="22.9099099099099" style="8" customWidth="1"/>
    <col min="7" max="7" width="24.0540540540541" style="8" customWidth="1"/>
    <col min="8" max="8" width="21.0630630630631" style="8" customWidth="1"/>
    <col min="9" max="9" width="20.7027027027027" style="10" customWidth="1"/>
    <col min="10" max="10" width="22.1801801801802" style="10" customWidth="1"/>
    <col min="11" max="12" width="13.954954954955" style="10" customWidth="1"/>
    <col min="13" max="13" width="6.22522522522523" style="10" customWidth="1"/>
    <col min="14" max="15" width="8" style="8" customWidth="1"/>
    <col min="16" max="16" width="19.2792792792793" style="8" customWidth="1"/>
    <col min="17" max="17" width="12.8828828828829" style="8" customWidth="1"/>
    <col min="18" max="18" width="18.9279279279279" style="8" customWidth="1"/>
    <col min="19" max="19" width="29.2882882882883" style="8" customWidth="1"/>
    <col min="20" max="20" width="36.4234234234234" style="8" customWidth="1"/>
    <col min="21" max="21" width="36.4324324324324" style="8" customWidth="1"/>
    <col min="22" max="22" width="31.7927927927928" style="11" customWidth="1"/>
    <col min="23" max="16033" width="7" style="8" customWidth="1"/>
    <col min="16034" max="16036" width="7" style="12"/>
    <col min="16037" max="16037" width="27.5675675675676" style="12"/>
    <col min="16038" max="16384" width="7" style="12"/>
  </cols>
  <sheetData>
    <row r="1" ht="93" customHeight="1" spans="1:22">
      <c r="A1" s="13" t="s">
        <v>0</v>
      </c>
      <c r="B1" s="13"/>
      <c r="C1" s="13"/>
      <c r="D1" s="13"/>
      <c r="E1" s="13"/>
      <c r="F1" s="13"/>
      <c r="G1" s="13"/>
      <c r="H1" s="13"/>
      <c r="I1" s="13"/>
      <c r="J1" s="13"/>
      <c r="K1" s="13"/>
      <c r="L1" s="13"/>
      <c r="M1" s="13"/>
      <c r="N1" s="13"/>
      <c r="O1" s="13"/>
      <c r="P1" s="13"/>
      <c r="Q1" s="13"/>
      <c r="R1" s="13"/>
      <c r="S1" s="13"/>
      <c r="T1" s="13"/>
      <c r="U1" s="13"/>
      <c r="V1" s="13"/>
    </row>
    <row r="2" customHeight="1" spans="1:22">
      <c r="A2" s="14" t="s">
        <v>1</v>
      </c>
      <c r="B2" s="14" t="s">
        <v>2</v>
      </c>
      <c r="C2" s="15" t="s">
        <v>3</v>
      </c>
      <c r="D2" s="14" t="s">
        <v>4</v>
      </c>
      <c r="E2" s="14" t="s">
        <v>5</v>
      </c>
      <c r="F2" s="14"/>
      <c r="G2" s="14"/>
      <c r="H2" s="14"/>
      <c r="I2" s="28"/>
      <c r="J2" s="28"/>
      <c r="K2" s="28"/>
      <c r="L2" s="28"/>
      <c r="M2" s="28"/>
      <c r="N2" s="14"/>
      <c r="O2" s="14"/>
      <c r="P2" s="14"/>
      <c r="Q2" s="14"/>
      <c r="R2" s="14" t="s">
        <v>6</v>
      </c>
      <c r="S2" s="29" t="s">
        <v>7</v>
      </c>
      <c r="T2" s="29" t="s">
        <v>8</v>
      </c>
      <c r="U2" s="29" t="s">
        <v>9</v>
      </c>
      <c r="V2" s="30" t="s">
        <v>10</v>
      </c>
    </row>
    <row r="3" s="1" customFormat="1" ht="37" customHeight="1" spans="1:22">
      <c r="A3" s="14"/>
      <c r="B3" s="14"/>
      <c r="C3" s="16"/>
      <c r="D3" s="14"/>
      <c r="E3" s="17" t="s">
        <v>11</v>
      </c>
      <c r="F3" s="18" t="s">
        <v>12</v>
      </c>
      <c r="G3" s="18"/>
      <c r="H3" s="18"/>
      <c r="I3" s="18"/>
      <c r="J3" s="18"/>
      <c r="K3" s="18"/>
      <c r="L3" s="18"/>
      <c r="M3" s="18"/>
      <c r="N3" s="17" t="s">
        <v>13</v>
      </c>
      <c r="O3" s="17" t="s">
        <v>14</v>
      </c>
      <c r="P3" s="17" t="s">
        <v>15</v>
      </c>
      <c r="Q3" s="17" t="s">
        <v>16</v>
      </c>
      <c r="R3" s="14"/>
      <c r="S3" s="31"/>
      <c r="T3" s="31"/>
      <c r="U3" s="31"/>
      <c r="V3" s="30"/>
    </row>
    <row r="4" s="1" customFormat="1" ht="27" customHeight="1" spans="1:22">
      <c r="A4" s="14"/>
      <c r="B4" s="14"/>
      <c r="C4" s="19"/>
      <c r="D4" s="14"/>
      <c r="E4" s="17"/>
      <c r="F4" s="17" t="s">
        <v>17</v>
      </c>
      <c r="G4" s="18" t="s">
        <v>18</v>
      </c>
      <c r="H4" s="18" t="s">
        <v>19</v>
      </c>
      <c r="I4" s="17" t="s">
        <v>20</v>
      </c>
      <c r="J4" s="17" t="s">
        <v>21</v>
      </c>
      <c r="K4" s="17" t="s">
        <v>22</v>
      </c>
      <c r="L4" s="17" t="s">
        <v>23</v>
      </c>
      <c r="M4" s="17" t="s">
        <v>24</v>
      </c>
      <c r="N4" s="17"/>
      <c r="O4" s="17"/>
      <c r="P4" s="17"/>
      <c r="Q4" s="17"/>
      <c r="R4" s="14"/>
      <c r="S4" s="32"/>
      <c r="T4" s="32"/>
      <c r="U4" s="32"/>
      <c r="V4" s="30"/>
    </row>
    <row r="5" s="2" customFormat="1" ht="58" customHeight="1" spans="1:16037">
      <c r="A5" s="20" t="s">
        <v>11</v>
      </c>
      <c r="B5" s="20"/>
      <c r="C5" s="20"/>
      <c r="D5" s="20"/>
      <c r="E5" s="21">
        <f t="shared" ref="E5:J5" si="0">E6+E119+E137+E176+E191+E193+E195</f>
        <v>74458</v>
      </c>
      <c r="F5" s="21">
        <f t="shared" si="0"/>
        <v>74131</v>
      </c>
      <c r="G5" s="21">
        <f t="shared" si="0"/>
        <v>54248</v>
      </c>
      <c r="H5" s="21">
        <f t="shared" si="0"/>
        <v>15747</v>
      </c>
      <c r="I5" s="21">
        <f t="shared" si="0"/>
        <v>2483</v>
      </c>
      <c r="J5" s="21">
        <f t="shared" si="0"/>
        <v>1653</v>
      </c>
      <c r="K5" s="21"/>
      <c r="L5" s="21"/>
      <c r="M5" s="21"/>
      <c r="N5" s="21"/>
      <c r="O5" s="21"/>
      <c r="P5" s="21">
        <f>P6+P119+P137+P176+P191+P193+P195</f>
        <v>327</v>
      </c>
      <c r="Q5" s="21"/>
      <c r="R5" s="20"/>
      <c r="S5" s="33">
        <v>4129.08591</v>
      </c>
      <c r="T5" s="33">
        <v>68797.678216</v>
      </c>
      <c r="U5" s="33">
        <f>E5-T5</f>
        <v>5660.32178399999</v>
      </c>
      <c r="V5" s="34">
        <f>T5/E5</f>
        <v>0.92397966929007</v>
      </c>
      <c r="WRU5" s="2">
        <f>SUBTOTAL(9,A5:WRT5)</f>
        <v>301635.009889669</v>
      </c>
    </row>
    <row r="6" s="2" customFormat="1" ht="58" customHeight="1" spans="1:22">
      <c r="A6" s="20" t="s">
        <v>25</v>
      </c>
      <c r="B6" s="22"/>
      <c r="C6" s="20" t="s">
        <v>26</v>
      </c>
      <c r="D6" s="20"/>
      <c r="E6" s="21">
        <f t="shared" ref="E6:J6" si="1">E7+E21+E22+E36+E50++E63+E64+E65+E66+E67+E68+E69+E70+E71+E72+E73+E74+E75+E76+E77+E78+E79+E80+E81+E82+E83+E84+E85+E86+E87+E88+E89+E90+E91+E92+E93+E94+E95+E96+E97+E98+E99+E100+E101+E102+E103+E104+E105+E106+E107+E108+E109+E110+E111+E112+E113+E114+E115+E116+E117+E118</f>
        <v>44929.45211</v>
      </c>
      <c r="F6" s="21">
        <f t="shared" si="1"/>
        <v>44929.45211</v>
      </c>
      <c r="G6" s="21">
        <f t="shared" si="1"/>
        <v>42548.105211</v>
      </c>
      <c r="H6" s="21">
        <f t="shared" si="1"/>
        <v>469.331699</v>
      </c>
      <c r="I6" s="21">
        <f t="shared" si="1"/>
        <v>305</v>
      </c>
      <c r="J6" s="21">
        <f t="shared" si="1"/>
        <v>1607.0152</v>
      </c>
      <c r="K6" s="21"/>
      <c r="L6" s="21"/>
      <c r="M6" s="21"/>
      <c r="N6" s="21"/>
      <c r="O6" s="21"/>
      <c r="P6" s="21">
        <f>P7+P21+P22+P36+P50++P63+P64+P65+P66+P67+P68+P69+P70+P71+P72+P73+P74+P75+P76+P77+P78+P79+P80+P81+P82+P83+P84+P85+P86+P87+P88+P89+P90+P91+P92+P93+P94+P95+P96+P97+P98+P99+P100+P101+P102+P103+P104+P105+P106+P107+P108+P109+P110+P111+P112+P113+P114+P115+P116+P117</f>
        <v>0</v>
      </c>
      <c r="Q6" s="21"/>
      <c r="R6" s="21"/>
      <c r="S6" s="33">
        <v>1621.707566</v>
      </c>
      <c r="T6" s="33">
        <v>42142.361237</v>
      </c>
      <c r="U6" s="33">
        <f>E6-T6</f>
        <v>2787.09087300001</v>
      </c>
      <c r="V6" s="34">
        <f>T6/E6</f>
        <v>0.937967396838572</v>
      </c>
    </row>
    <row r="7" ht="42" customHeight="1" spans="1:22">
      <c r="A7" s="22">
        <v>1</v>
      </c>
      <c r="B7" s="22" t="s">
        <v>27</v>
      </c>
      <c r="C7" s="22" t="s">
        <v>28</v>
      </c>
      <c r="D7" s="23" t="s">
        <v>29</v>
      </c>
      <c r="E7" s="22">
        <f>F7+N7+O7+P7+Q7</f>
        <v>5881.9336</v>
      </c>
      <c r="F7" s="22">
        <f>G7+I7+J7+K7+L7+M7</f>
        <v>5881.9336</v>
      </c>
      <c r="G7" s="22">
        <f>E8+E9+E10+E11+E12+E13+E14+E15+E16+E17+E18+E19+E20</f>
        <v>5881.9336</v>
      </c>
      <c r="H7" s="24"/>
      <c r="I7" s="22"/>
      <c r="J7" s="22"/>
      <c r="K7" s="22"/>
      <c r="L7" s="22"/>
      <c r="M7" s="22"/>
      <c r="N7" s="22"/>
      <c r="O7" s="22"/>
      <c r="P7" s="22"/>
      <c r="Q7" s="22"/>
      <c r="R7" s="22" t="s">
        <v>30</v>
      </c>
      <c r="S7" s="35">
        <v>-2.09</v>
      </c>
      <c r="T7" s="35">
        <v>5881.9336</v>
      </c>
      <c r="U7" s="33">
        <f>E7-T7</f>
        <v>0</v>
      </c>
      <c r="V7" s="34">
        <f>T7/E7</f>
        <v>1</v>
      </c>
    </row>
    <row r="8" ht="73" customHeight="1" spans="1:22">
      <c r="A8" s="22"/>
      <c r="B8" s="22"/>
      <c r="C8" s="22" t="s">
        <v>28</v>
      </c>
      <c r="D8" s="23"/>
      <c r="E8" s="22">
        <f>1513.687-4.795-71.575</f>
        <v>1437.317</v>
      </c>
      <c r="F8" s="22"/>
      <c r="G8" s="22"/>
      <c r="H8" s="22"/>
      <c r="I8" s="22"/>
      <c r="J8" s="22"/>
      <c r="K8" s="22"/>
      <c r="L8" s="22"/>
      <c r="M8" s="22"/>
      <c r="N8" s="22"/>
      <c r="O8" s="22"/>
      <c r="P8" s="22"/>
      <c r="Q8" s="22"/>
      <c r="R8" s="22" t="s">
        <v>31</v>
      </c>
      <c r="S8" s="33"/>
      <c r="T8" s="33">
        <v>1437.317</v>
      </c>
      <c r="U8" s="33">
        <f>E8-T8</f>
        <v>0</v>
      </c>
      <c r="V8" s="34">
        <f t="shared" ref="V8:V32" si="2">T8/E8</f>
        <v>1</v>
      </c>
    </row>
    <row r="9" ht="73" customHeight="1" spans="1:22">
      <c r="A9" s="22"/>
      <c r="B9" s="22"/>
      <c r="C9" s="22" t="s">
        <v>28</v>
      </c>
      <c r="D9" s="23"/>
      <c r="E9" s="22">
        <f>628.992-5.649</f>
        <v>623.343</v>
      </c>
      <c r="F9" s="22"/>
      <c r="G9" s="22"/>
      <c r="H9" s="22"/>
      <c r="I9" s="22"/>
      <c r="J9" s="22"/>
      <c r="K9" s="22"/>
      <c r="L9" s="22"/>
      <c r="M9" s="22"/>
      <c r="N9" s="22"/>
      <c r="O9" s="22"/>
      <c r="P9" s="22"/>
      <c r="Q9" s="22"/>
      <c r="R9" s="22" t="s">
        <v>32</v>
      </c>
      <c r="S9" s="33"/>
      <c r="T9" s="33">
        <v>623.343</v>
      </c>
      <c r="U9" s="33">
        <f t="shared" ref="U9:U21" si="3">E9-T9</f>
        <v>0</v>
      </c>
      <c r="V9" s="34">
        <f t="shared" si="2"/>
        <v>1</v>
      </c>
    </row>
    <row r="10" ht="73" customHeight="1" spans="1:22">
      <c r="A10" s="22"/>
      <c r="B10" s="22"/>
      <c r="C10" s="22" t="s">
        <v>28</v>
      </c>
      <c r="D10" s="23"/>
      <c r="E10" s="22">
        <f>102.746-6.1075</f>
        <v>96.6385</v>
      </c>
      <c r="F10" s="22"/>
      <c r="G10" s="22"/>
      <c r="H10" s="22"/>
      <c r="I10" s="22"/>
      <c r="J10" s="22"/>
      <c r="K10" s="22"/>
      <c r="L10" s="22"/>
      <c r="M10" s="22"/>
      <c r="N10" s="22"/>
      <c r="O10" s="22"/>
      <c r="P10" s="22"/>
      <c r="Q10" s="22"/>
      <c r="R10" s="22" t="s">
        <v>33</v>
      </c>
      <c r="S10" s="33"/>
      <c r="T10" s="33">
        <v>96.6385</v>
      </c>
      <c r="U10" s="33">
        <f t="shared" si="3"/>
        <v>0</v>
      </c>
      <c r="V10" s="34">
        <f t="shared" si="2"/>
        <v>1</v>
      </c>
    </row>
    <row r="11" ht="73" customHeight="1" spans="1:22">
      <c r="A11" s="22"/>
      <c r="B11" s="22"/>
      <c r="C11" s="22" t="s">
        <v>28</v>
      </c>
      <c r="D11" s="23"/>
      <c r="E11" s="22">
        <f>492.772-15.3965</f>
        <v>477.3755</v>
      </c>
      <c r="F11" s="22"/>
      <c r="G11" s="22"/>
      <c r="H11" s="22"/>
      <c r="I11" s="22"/>
      <c r="J11" s="22"/>
      <c r="K11" s="22"/>
      <c r="L11" s="22"/>
      <c r="M11" s="22"/>
      <c r="N11" s="22"/>
      <c r="O11" s="22"/>
      <c r="P11" s="22"/>
      <c r="Q11" s="22"/>
      <c r="R11" s="22" t="s">
        <v>34</v>
      </c>
      <c r="S11" s="33"/>
      <c r="T11" s="33">
        <v>477.3755</v>
      </c>
      <c r="U11" s="33">
        <f t="shared" si="3"/>
        <v>0</v>
      </c>
      <c r="V11" s="34">
        <f t="shared" si="2"/>
        <v>1</v>
      </c>
    </row>
    <row r="12" ht="73" customHeight="1" spans="1:22">
      <c r="A12" s="22"/>
      <c r="B12" s="22"/>
      <c r="C12" s="22" t="s">
        <v>28</v>
      </c>
      <c r="D12" s="23"/>
      <c r="E12" s="22">
        <f>735.686-13.3525</f>
        <v>722.3335</v>
      </c>
      <c r="F12" s="22"/>
      <c r="G12" s="22"/>
      <c r="H12" s="22"/>
      <c r="I12" s="22"/>
      <c r="J12" s="22"/>
      <c r="K12" s="22"/>
      <c r="L12" s="22"/>
      <c r="M12" s="22"/>
      <c r="N12" s="22"/>
      <c r="O12" s="22"/>
      <c r="P12" s="22"/>
      <c r="Q12" s="22"/>
      <c r="R12" s="22" t="s">
        <v>35</v>
      </c>
      <c r="S12" s="33"/>
      <c r="T12" s="33">
        <v>722.3335</v>
      </c>
      <c r="U12" s="33">
        <f t="shared" si="3"/>
        <v>0</v>
      </c>
      <c r="V12" s="34">
        <f t="shared" si="2"/>
        <v>1</v>
      </c>
    </row>
    <row r="13" ht="73" customHeight="1" spans="1:22">
      <c r="A13" s="22"/>
      <c r="B13" s="22"/>
      <c r="C13" s="22" t="s">
        <v>28</v>
      </c>
      <c r="D13" s="23"/>
      <c r="E13" s="22">
        <f>339.297-8.6975</f>
        <v>330.5995</v>
      </c>
      <c r="F13" s="22"/>
      <c r="G13" s="22"/>
      <c r="H13" s="22"/>
      <c r="I13" s="22"/>
      <c r="J13" s="22"/>
      <c r="K13" s="22"/>
      <c r="L13" s="22"/>
      <c r="M13" s="22"/>
      <c r="N13" s="22"/>
      <c r="O13" s="22"/>
      <c r="P13" s="22"/>
      <c r="Q13" s="22"/>
      <c r="R13" s="22" t="s">
        <v>36</v>
      </c>
      <c r="S13" s="33"/>
      <c r="T13" s="33">
        <v>330.5995</v>
      </c>
      <c r="U13" s="33">
        <f t="shared" si="3"/>
        <v>0</v>
      </c>
      <c r="V13" s="34">
        <f t="shared" si="2"/>
        <v>1</v>
      </c>
    </row>
    <row r="14" ht="73" customHeight="1" spans="1:22">
      <c r="A14" s="22"/>
      <c r="B14" s="22"/>
      <c r="C14" s="22" t="s">
        <v>28</v>
      </c>
      <c r="D14" s="23"/>
      <c r="E14" s="22">
        <f>663.894-14.707</f>
        <v>649.187</v>
      </c>
      <c r="F14" s="22"/>
      <c r="G14" s="22"/>
      <c r="H14" s="22"/>
      <c r="I14" s="22"/>
      <c r="J14" s="22"/>
      <c r="K14" s="22"/>
      <c r="L14" s="22"/>
      <c r="M14" s="22"/>
      <c r="N14" s="22"/>
      <c r="O14" s="22"/>
      <c r="P14" s="22"/>
      <c r="Q14" s="22"/>
      <c r="R14" s="22" t="s">
        <v>37</v>
      </c>
      <c r="S14" s="33"/>
      <c r="T14" s="33">
        <v>649.187</v>
      </c>
      <c r="U14" s="33">
        <f t="shared" si="3"/>
        <v>0</v>
      </c>
      <c r="V14" s="34">
        <f t="shared" si="2"/>
        <v>1</v>
      </c>
    </row>
    <row r="15" ht="73" customHeight="1" spans="1:22">
      <c r="A15" s="22"/>
      <c r="B15" s="22"/>
      <c r="C15" s="22" t="s">
        <v>28</v>
      </c>
      <c r="D15" s="23"/>
      <c r="E15" s="22">
        <f>378.973+4.795-9.002</f>
        <v>374.766</v>
      </c>
      <c r="F15" s="22"/>
      <c r="G15" s="22"/>
      <c r="H15" s="22"/>
      <c r="I15" s="22"/>
      <c r="J15" s="22"/>
      <c r="K15" s="22"/>
      <c r="L15" s="22"/>
      <c r="M15" s="22"/>
      <c r="N15" s="22"/>
      <c r="O15" s="22"/>
      <c r="P15" s="22"/>
      <c r="Q15" s="22"/>
      <c r="R15" s="22" t="s">
        <v>38</v>
      </c>
      <c r="S15" s="33"/>
      <c r="T15" s="33">
        <v>374.766</v>
      </c>
      <c r="U15" s="33">
        <f t="shared" si="3"/>
        <v>0</v>
      </c>
      <c r="V15" s="34">
        <f t="shared" si="2"/>
        <v>1</v>
      </c>
    </row>
    <row r="16" ht="73" customHeight="1" spans="1:22">
      <c r="A16" s="22"/>
      <c r="B16" s="22"/>
      <c r="C16" s="22" t="s">
        <v>28</v>
      </c>
      <c r="D16" s="23"/>
      <c r="E16" s="22">
        <f>201.187-6.9734</f>
        <v>194.2136</v>
      </c>
      <c r="F16" s="22"/>
      <c r="G16" s="22"/>
      <c r="H16" s="22"/>
      <c r="I16" s="22"/>
      <c r="J16" s="22"/>
      <c r="K16" s="22"/>
      <c r="L16" s="22"/>
      <c r="M16" s="22"/>
      <c r="N16" s="22"/>
      <c r="O16" s="22"/>
      <c r="P16" s="22"/>
      <c r="Q16" s="22"/>
      <c r="R16" s="22" t="s">
        <v>39</v>
      </c>
      <c r="S16" s="33"/>
      <c r="T16" s="33">
        <v>194.2136</v>
      </c>
      <c r="U16" s="33">
        <f t="shared" si="3"/>
        <v>0</v>
      </c>
      <c r="V16" s="34">
        <f t="shared" si="2"/>
        <v>1</v>
      </c>
    </row>
    <row r="17" ht="73" customHeight="1" spans="1:22">
      <c r="A17" s="22"/>
      <c r="B17" s="22"/>
      <c r="C17" s="22" t="s">
        <v>28</v>
      </c>
      <c r="D17" s="23"/>
      <c r="E17" s="22">
        <f>166.215-3.92</f>
        <v>162.295</v>
      </c>
      <c r="F17" s="22"/>
      <c r="G17" s="22"/>
      <c r="H17" s="22"/>
      <c r="I17" s="22"/>
      <c r="J17" s="22"/>
      <c r="K17" s="22"/>
      <c r="L17" s="22"/>
      <c r="M17" s="22"/>
      <c r="N17" s="22"/>
      <c r="O17" s="22"/>
      <c r="P17" s="22"/>
      <c r="Q17" s="22"/>
      <c r="R17" s="22" t="s">
        <v>40</v>
      </c>
      <c r="S17" s="33"/>
      <c r="T17" s="33">
        <v>162.295</v>
      </c>
      <c r="U17" s="33">
        <f t="shared" si="3"/>
        <v>0</v>
      </c>
      <c r="V17" s="34">
        <f t="shared" si="2"/>
        <v>1</v>
      </c>
    </row>
    <row r="18" ht="73" customHeight="1" spans="1:22">
      <c r="A18" s="22"/>
      <c r="B18" s="22"/>
      <c r="C18" s="22" t="s">
        <v>28</v>
      </c>
      <c r="D18" s="23"/>
      <c r="E18" s="22">
        <f>104.489-0.756</f>
        <v>103.733</v>
      </c>
      <c r="F18" s="22"/>
      <c r="G18" s="22"/>
      <c r="H18" s="22"/>
      <c r="I18" s="22"/>
      <c r="J18" s="22"/>
      <c r="K18" s="22"/>
      <c r="L18" s="22"/>
      <c r="M18" s="22"/>
      <c r="N18" s="22"/>
      <c r="O18" s="22"/>
      <c r="P18" s="22"/>
      <c r="Q18" s="22"/>
      <c r="R18" s="22" t="s">
        <v>41</v>
      </c>
      <c r="S18" s="33"/>
      <c r="T18" s="33">
        <v>103.733</v>
      </c>
      <c r="U18" s="33">
        <f t="shared" si="3"/>
        <v>0</v>
      </c>
      <c r="V18" s="34">
        <f t="shared" si="2"/>
        <v>1</v>
      </c>
    </row>
    <row r="19" ht="73" customHeight="1" spans="1:22">
      <c r="A19" s="22"/>
      <c r="B19" s="22"/>
      <c r="C19" s="22" t="s">
        <v>28</v>
      </c>
      <c r="D19" s="23"/>
      <c r="E19" s="22">
        <f>400.001-5.3025</f>
        <v>394.6985</v>
      </c>
      <c r="F19" s="22"/>
      <c r="G19" s="22"/>
      <c r="H19" s="22"/>
      <c r="I19" s="22"/>
      <c r="J19" s="22"/>
      <c r="K19" s="22"/>
      <c r="L19" s="22"/>
      <c r="M19" s="22"/>
      <c r="N19" s="22"/>
      <c r="O19" s="22"/>
      <c r="P19" s="22"/>
      <c r="Q19" s="22"/>
      <c r="R19" s="22" t="s">
        <v>42</v>
      </c>
      <c r="S19" s="33"/>
      <c r="T19" s="33">
        <v>394.6985</v>
      </c>
      <c r="U19" s="33">
        <f t="shared" si="3"/>
        <v>0</v>
      </c>
      <c r="V19" s="34">
        <f t="shared" si="2"/>
        <v>1</v>
      </c>
    </row>
    <row r="20" ht="73" customHeight="1" spans="1:22">
      <c r="A20" s="22"/>
      <c r="B20" s="22"/>
      <c r="C20" s="22" t="s">
        <v>28</v>
      </c>
      <c r="D20" s="23"/>
      <c r="E20" s="22">
        <v>315.4335</v>
      </c>
      <c r="F20" s="22"/>
      <c r="G20" s="22"/>
      <c r="H20" s="22"/>
      <c r="I20" s="22"/>
      <c r="J20" s="22"/>
      <c r="K20" s="22"/>
      <c r="L20" s="22"/>
      <c r="M20" s="22"/>
      <c r="N20" s="22"/>
      <c r="O20" s="22"/>
      <c r="P20" s="22"/>
      <c r="Q20" s="22"/>
      <c r="R20" s="22" t="s">
        <v>43</v>
      </c>
      <c r="S20" s="33">
        <v>-2.09</v>
      </c>
      <c r="T20" s="33">
        <v>315.4335</v>
      </c>
      <c r="U20" s="33">
        <f t="shared" si="3"/>
        <v>0</v>
      </c>
      <c r="V20" s="34">
        <f t="shared" si="2"/>
        <v>1</v>
      </c>
    </row>
    <row r="21" ht="49" customHeight="1" spans="1:22">
      <c r="A21" s="22">
        <v>2</v>
      </c>
      <c r="B21" s="22" t="s">
        <v>44</v>
      </c>
      <c r="C21" s="22" t="s">
        <v>45</v>
      </c>
      <c r="D21" s="23" t="s">
        <v>46</v>
      </c>
      <c r="E21" s="22">
        <f>F21+N21+O21+P21+Q21</f>
        <v>742.7315</v>
      </c>
      <c r="F21" s="22">
        <f>G21+I21+J21+K21+L21+M21</f>
        <v>742.7315</v>
      </c>
      <c r="G21" s="22">
        <f>1013.7096-270.9781</f>
        <v>742.7315</v>
      </c>
      <c r="H21" s="24"/>
      <c r="I21" s="22"/>
      <c r="J21" s="22"/>
      <c r="K21" s="22"/>
      <c r="L21" s="22"/>
      <c r="M21" s="22"/>
      <c r="N21" s="22"/>
      <c r="O21" s="22"/>
      <c r="P21" s="22"/>
      <c r="Q21" s="22"/>
      <c r="R21" s="22" t="s">
        <v>47</v>
      </c>
      <c r="S21" s="35"/>
      <c r="T21" s="35">
        <v>742.7315</v>
      </c>
      <c r="U21" s="33">
        <f t="shared" si="3"/>
        <v>0</v>
      </c>
      <c r="V21" s="34">
        <f t="shared" si="2"/>
        <v>1</v>
      </c>
    </row>
    <row r="22" ht="73" customHeight="1" spans="1:22">
      <c r="A22" s="22">
        <v>3</v>
      </c>
      <c r="B22" s="22" t="s">
        <v>48</v>
      </c>
      <c r="C22" s="22" t="s">
        <v>49</v>
      </c>
      <c r="D22" s="25" t="s">
        <v>50</v>
      </c>
      <c r="E22" s="22">
        <f>F22</f>
        <v>2304.25449</v>
      </c>
      <c r="F22" s="22">
        <f>G22+I22+J22+K22+L22+M22+H22</f>
        <v>2304.25449</v>
      </c>
      <c r="G22" s="22">
        <f>G23+G24+G25+G26+G27+G28+G29+G30+G31+G32+G33+G34+G35</f>
        <v>1778.169805</v>
      </c>
      <c r="H22" s="22">
        <f>H23+H24+H25+H26+H27+H28+H30+H29+H31+H32+H33+H34+H35</f>
        <v>469.331699</v>
      </c>
      <c r="I22" s="22"/>
      <c r="J22" s="22">
        <f>J23+J24+J25+J26+J27+J28+J29+J30+J31+J32+J33+J34+J35</f>
        <v>56.752986</v>
      </c>
      <c r="K22" s="22"/>
      <c r="L22" s="22"/>
      <c r="M22" s="22"/>
      <c r="N22" s="22"/>
      <c r="O22" s="22"/>
      <c r="P22" s="22"/>
      <c r="Q22" s="22"/>
      <c r="R22" s="22" t="s">
        <v>51</v>
      </c>
      <c r="S22" s="33">
        <v>-0.15</v>
      </c>
      <c r="T22" s="33">
        <v>1314.9861</v>
      </c>
      <c r="U22" s="33">
        <f t="shared" ref="U22:U27" si="4">E22-T22</f>
        <v>989.26839</v>
      </c>
      <c r="V22" s="34">
        <f t="shared" si="2"/>
        <v>0.570677460196682</v>
      </c>
    </row>
    <row r="23" ht="73" customHeight="1" spans="1:22">
      <c r="A23" s="22"/>
      <c r="B23" s="22"/>
      <c r="C23" s="22" t="s">
        <v>49</v>
      </c>
      <c r="D23" s="25"/>
      <c r="E23" s="22">
        <v>206.7621</v>
      </c>
      <c r="F23" s="22"/>
      <c r="G23" s="26">
        <v>206.7621</v>
      </c>
      <c r="H23" s="22"/>
      <c r="I23" s="22"/>
      <c r="J23" s="22"/>
      <c r="K23" s="22"/>
      <c r="L23" s="22"/>
      <c r="M23" s="22"/>
      <c r="N23" s="22"/>
      <c r="O23" s="22"/>
      <c r="P23" s="22"/>
      <c r="Q23" s="22"/>
      <c r="R23" s="22" t="s">
        <v>31</v>
      </c>
      <c r="S23" s="33"/>
      <c r="T23" s="33">
        <v>206.7621</v>
      </c>
      <c r="U23" s="33">
        <f t="shared" si="4"/>
        <v>0</v>
      </c>
      <c r="V23" s="34">
        <f t="shared" si="2"/>
        <v>1</v>
      </c>
    </row>
    <row r="24" ht="73" customHeight="1" spans="1:22">
      <c r="A24" s="22"/>
      <c r="B24" s="22"/>
      <c r="C24" s="22" t="s">
        <v>49</v>
      </c>
      <c r="D24" s="25"/>
      <c r="E24" s="22">
        <f>170.979+169</f>
        <v>339.979</v>
      </c>
      <c r="F24" s="22"/>
      <c r="G24" s="26">
        <v>214.055184</v>
      </c>
      <c r="H24" s="22">
        <v>69.17083</v>
      </c>
      <c r="I24" s="22"/>
      <c r="J24" s="22">
        <v>56.752986</v>
      </c>
      <c r="K24" s="22"/>
      <c r="L24" s="22"/>
      <c r="M24" s="22"/>
      <c r="N24" s="22"/>
      <c r="O24" s="22"/>
      <c r="P24" s="22"/>
      <c r="Q24" s="22"/>
      <c r="R24" s="22" t="s">
        <v>32</v>
      </c>
      <c r="S24" s="33">
        <v>-0.15</v>
      </c>
      <c r="T24" s="33">
        <v>170.829</v>
      </c>
      <c r="U24" s="33">
        <f t="shared" si="4"/>
        <v>169.15</v>
      </c>
      <c r="V24" s="34">
        <f t="shared" si="2"/>
        <v>0.502469270160804</v>
      </c>
    </row>
    <row r="25" ht="73" customHeight="1" spans="1:22">
      <c r="A25" s="22"/>
      <c r="B25" s="22"/>
      <c r="C25" s="22" t="s">
        <v>49</v>
      </c>
      <c r="D25" s="25"/>
      <c r="E25" s="22">
        <f>121.761+1.957507+74.215</f>
        <v>197.933507</v>
      </c>
      <c r="F25" s="22"/>
      <c r="G25" s="26">
        <f>121.761+1.957507+2.578536+8.6975</f>
        <v>134.994543</v>
      </c>
      <c r="H25" s="22">
        <v>62.938964</v>
      </c>
      <c r="I25" s="22"/>
      <c r="J25" s="22"/>
      <c r="K25" s="22"/>
      <c r="L25" s="22"/>
      <c r="M25" s="22"/>
      <c r="N25" s="22"/>
      <c r="O25" s="22"/>
      <c r="P25" s="22"/>
      <c r="Q25" s="22"/>
      <c r="R25" s="22" t="s">
        <v>33</v>
      </c>
      <c r="S25" s="33"/>
      <c r="T25" s="33">
        <v>121.761</v>
      </c>
      <c r="U25" s="33">
        <f t="shared" si="4"/>
        <v>76.172507</v>
      </c>
      <c r="V25" s="34">
        <f t="shared" si="2"/>
        <v>0.615161130853908</v>
      </c>
    </row>
    <row r="26" ht="73" customHeight="1" spans="1:22">
      <c r="A26" s="22"/>
      <c r="B26" s="22"/>
      <c r="C26" s="22" t="s">
        <v>49</v>
      </c>
      <c r="D26" s="25"/>
      <c r="E26" s="22">
        <f>63.411+43</f>
        <v>106.411</v>
      </c>
      <c r="F26" s="22"/>
      <c r="G26" s="26">
        <f>63.411+43</f>
        <v>106.411</v>
      </c>
      <c r="H26" s="22"/>
      <c r="I26" s="22"/>
      <c r="J26" s="22"/>
      <c r="K26" s="22"/>
      <c r="L26" s="22"/>
      <c r="M26" s="22"/>
      <c r="N26" s="22"/>
      <c r="O26" s="22"/>
      <c r="P26" s="22"/>
      <c r="Q26" s="22"/>
      <c r="R26" s="22" t="s">
        <v>34</v>
      </c>
      <c r="S26" s="33"/>
      <c r="T26" s="33">
        <v>63.411</v>
      </c>
      <c r="U26" s="33">
        <f t="shared" si="4"/>
        <v>43</v>
      </c>
      <c r="V26" s="34">
        <f t="shared" si="2"/>
        <v>0.595906438244166</v>
      </c>
    </row>
    <row r="27" ht="73" customHeight="1" spans="1:22">
      <c r="A27" s="22"/>
      <c r="B27" s="22"/>
      <c r="C27" s="22" t="s">
        <v>49</v>
      </c>
      <c r="D27" s="25"/>
      <c r="E27" s="22">
        <f>58.35+48.5</f>
        <v>106.85</v>
      </c>
      <c r="F27" s="22"/>
      <c r="G27" s="26">
        <v>58.35</v>
      </c>
      <c r="H27" s="22">
        <v>48.5</v>
      </c>
      <c r="I27" s="22"/>
      <c r="J27" s="22"/>
      <c r="K27" s="22"/>
      <c r="L27" s="22"/>
      <c r="M27" s="22"/>
      <c r="N27" s="22"/>
      <c r="O27" s="22"/>
      <c r="P27" s="22"/>
      <c r="Q27" s="22"/>
      <c r="R27" s="22" t="s">
        <v>35</v>
      </c>
      <c r="S27" s="33"/>
      <c r="T27" s="33">
        <v>58.35</v>
      </c>
      <c r="U27" s="33">
        <f t="shared" si="4"/>
        <v>48.5</v>
      </c>
      <c r="V27" s="34">
        <f t="shared" si="2"/>
        <v>0.546092653252223</v>
      </c>
    </row>
    <row r="28" ht="73" customHeight="1" spans="1:22">
      <c r="A28" s="22"/>
      <c r="B28" s="22"/>
      <c r="C28" s="22" t="s">
        <v>49</v>
      </c>
      <c r="D28" s="25"/>
      <c r="E28" s="22">
        <f>49.074+45.641883</f>
        <v>94.715883</v>
      </c>
      <c r="F28" s="22"/>
      <c r="G28" s="26">
        <f>49.074+45.641883</f>
        <v>94.715883</v>
      </c>
      <c r="H28" s="22"/>
      <c r="I28" s="22"/>
      <c r="J28" s="22"/>
      <c r="K28" s="22"/>
      <c r="L28" s="22"/>
      <c r="M28" s="22"/>
      <c r="N28" s="22"/>
      <c r="O28" s="22"/>
      <c r="P28" s="22"/>
      <c r="Q28" s="22"/>
      <c r="R28" s="22" t="s">
        <v>36</v>
      </c>
      <c r="S28" s="33"/>
      <c r="T28" s="33">
        <v>46.809</v>
      </c>
      <c r="U28" s="33">
        <f t="shared" ref="U28:U50" si="5">E28-T28</f>
        <v>47.906883</v>
      </c>
      <c r="V28" s="34">
        <f t="shared" si="2"/>
        <v>0.494204335296119</v>
      </c>
    </row>
    <row r="29" ht="73" customHeight="1" spans="1:22">
      <c r="A29" s="22"/>
      <c r="B29" s="22"/>
      <c r="C29" s="22" t="s">
        <v>49</v>
      </c>
      <c r="D29" s="25"/>
      <c r="E29" s="22">
        <f>107.214+107.214</f>
        <v>214.428</v>
      </c>
      <c r="F29" s="22"/>
      <c r="G29" s="26">
        <f>107.214+107.214</f>
        <v>214.428</v>
      </c>
      <c r="H29" s="22"/>
      <c r="I29" s="22"/>
      <c r="J29" s="22"/>
      <c r="K29" s="22"/>
      <c r="L29" s="22"/>
      <c r="M29" s="22"/>
      <c r="N29" s="22"/>
      <c r="O29" s="22"/>
      <c r="P29" s="22"/>
      <c r="Q29" s="22"/>
      <c r="R29" s="22" t="s">
        <v>37</v>
      </c>
      <c r="S29" s="33"/>
      <c r="T29" s="33">
        <v>107.214</v>
      </c>
      <c r="U29" s="33">
        <f t="shared" si="5"/>
        <v>107.214</v>
      </c>
      <c r="V29" s="34">
        <f t="shared" si="2"/>
        <v>0.5</v>
      </c>
    </row>
    <row r="30" ht="73" customHeight="1" spans="1:22">
      <c r="A30" s="22"/>
      <c r="B30" s="22"/>
      <c r="C30" s="22" t="s">
        <v>49</v>
      </c>
      <c r="D30" s="25"/>
      <c r="E30" s="22">
        <f>198.054+168.191</f>
        <v>366.245</v>
      </c>
      <c r="F30" s="22"/>
      <c r="G30" s="26">
        <f>198.054+168.191</f>
        <v>366.245</v>
      </c>
      <c r="H30" s="22"/>
      <c r="I30" s="22"/>
      <c r="J30" s="22"/>
      <c r="K30" s="22"/>
      <c r="L30" s="22"/>
      <c r="M30" s="22"/>
      <c r="N30" s="22"/>
      <c r="O30" s="22"/>
      <c r="P30" s="22"/>
      <c r="Q30" s="22"/>
      <c r="R30" s="22" t="s">
        <v>38</v>
      </c>
      <c r="S30" s="33"/>
      <c r="T30" s="33">
        <v>198.054</v>
      </c>
      <c r="U30" s="33">
        <f t="shared" si="5"/>
        <v>168.191</v>
      </c>
      <c r="V30" s="34">
        <f t="shared" si="2"/>
        <v>0.54076915725812</v>
      </c>
    </row>
    <row r="31" ht="73" customHeight="1" spans="1:22">
      <c r="A31" s="22"/>
      <c r="B31" s="22"/>
      <c r="C31" s="22" t="s">
        <v>49</v>
      </c>
      <c r="D31" s="25"/>
      <c r="E31" s="22">
        <f>133.587+133.587</f>
        <v>267.174</v>
      </c>
      <c r="F31" s="22"/>
      <c r="G31" s="26">
        <v>133.587</v>
      </c>
      <c r="H31" s="22">
        <v>133.587</v>
      </c>
      <c r="I31" s="22"/>
      <c r="J31" s="22"/>
      <c r="K31" s="22"/>
      <c r="L31" s="22"/>
      <c r="M31" s="22"/>
      <c r="N31" s="22"/>
      <c r="O31" s="22"/>
      <c r="P31" s="22"/>
      <c r="Q31" s="22"/>
      <c r="R31" s="22" t="s">
        <v>39</v>
      </c>
      <c r="S31" s="33"/>
      <c r="T31" s="33">
        <v>133.587</v>
      </c>
      <c r="U31" s="33">
        <f t="shared" si="5"/>
        <v>133.587</v>
      </c>
      <c r="V31" s="34">
        <f t="shared" si="2"/>
        <v>0.5</v>
      </c>
    </row>
    <row r="32" ht="73" customHeight="1" spans="1:22">
      <c r="A32" s="22"/>
      <c r="B32" s="22"/>
      <c r="C32" s="22" t="s">
        <v>49</v>
      </c>
      <c r="D32" s="25"/>
      <c r="E32" s="22">
        <f>29.298+30</f>
        <v>59.298</v>
      </c>
      <c r="F32" s="22"/>
      <c r="G32" s="26">
        <f>29.298+16.597095</f>
        <v>45.895095</v>
      </c>
      <c r="H32" s="22">
        <v>13.402905</v>
      </c>
      <c r="I32" s="22"/>
      <c r="J32" s="22"/>
      <c r="K32" s="22"/>
      <c r="L32" s="22"/>
      <c r="M32" s="22"/>
      <c r="N32" s="22"/>
      <c r="O32" s="22"/>
      <c r="P32" s="22"/>
      <c r="Q32" s="22"/>
      <c r="R32" s="22" t="s">
        <v>40</v>
      </c>
      <c r="S32" s="33"/>
      <c r="T32" s="33">
        <v>29.298</v>
      </c>
      <c r="U32" s="33">
        <f t="shared" si="5"/>
        <v>30</v>
      </c>
      <c r="V32" s="34">
        <f t="shared" si="2"/>
        <v>0.494080744713144</v>
      </c>
    </row>
    <row r="33" ht="73" customHeight="1" spans="1:22">
      <c r="A33" s="22"/>
      <c r="B33" s="22"/>
      <c r="C33" s="22" t="s">
        <v>49</v>
      </c>
      <c r="D33" s="25"/>
      <c r="E33" s="22">
        <v>0</v>
      </c>
      <c r="F33" s="22"/>
      <c r="G33" s="22"/>
      <c r="H33" s="22"/>
      <c r="I33" s="22"/>
      <c r="J33" s="22"/>
      <c r="K33" s="22"/>
      <c r="L33" s="22"/>
      <c r="M33" s="22"/>
      <c r="N33" s="22"/>
      <c r="O33" s="22"/>
      <c r="P33" s="22"/>
      <c r="Q33" s="22"/>
      <c r="R33" s="22" t="s">
        <v>41</v>
      </c>
      <c r="S33" s="33"/>
      <c r="T33" s="33">
        <v>0</v>
      </c>
      <c r="U33" s="33">
        <f t="shared" si="5"/>
        <v>0</v>
      </c>
      <c r="V33" s="34">
        <v>0</v>
      </c>
    </row>
    <row r="34" ht="73" customHeight="1" spans="1:22">
      <c r="A34" s="22"/>
      <c r="B34" s="22"/>
      <c r="C34" s="22" t="s">
        <v>49</v>
      </c>
      <c r="D34" s="25"/>
      <c r="E34" s="22">
        <f>37.179+23.815</f>
        <v>60.994</v>
      </c>
      <c r="F34" s="22"/>
      <c r="G34" s="26">
        <f>37.179+23.815</f>
        <v>60.994</v>
      </c>
      <c r="H34" s="22"/>
      <c r="I34" s="22"/>
      <c r="J34" s="22"/>
      <c r="K34" s="22"/>
      <c r="L34" s="22"/>
      <c r="M34" s="22"/>
      <c r="N34" s="22"/>
      <c r="O34" s="22"/>
      <c r="P34" s="22"/>
      <c r="Q34" s="22"/>
      <c r="R34" s="22" t="s">
        <v>42</v>
      </c>
      <c r="S34" s="33"/>
      <c r="T34" s="33">
        <v>37.179</v>
      </c>
      <c r="U34" s="33">
        <f t="shared" si="5"/>
        <v>23.815</v>
      </c>
      <c r="V34" s="34">
        <f t="shared" ref="V34:V53" si="6">T34/E34</f>
        <v>0.609551759189428</v>
      </c>
    </row>
    <row r="35" ht="73" customHeight="1" spans="1:22">
      <c r="A35" s="22"/>
      <c r="B35" s="22"/>
      <c r="C35" s="22" t="s">
        <v>49</v>
      </c>
      <c r="D35" s="25"/>
      <c r="E35" s="22">
        <f>141.732+141.732</f>
        <v>283.464</v>
      </c>
      <c r="F35" s="22"/>
      <c r="G35" s="26">
        <v>141.732</v>
      </c>
      <c r="H35" s="22">
        <v>141.732</v>
      </c>
      <c r="I35" s="22"/>
      <c r="J35" s="22"/>
      <c r="K35" s="22"/>
      <c r="L35" s="22"/>
      <c r="M35" s="22"/>
      <c r="N35" s="22"/>
      <c r="O35" s="22"/>
      <c r="P35" s="22"/>
      <c r="Q35" s="22"/>
      <c r="R35" s="22" t="s">
        <v>43</v>
      </c>
      <c r="S35" s="33"/>
      <c r="T35" s="33">
        <v>141.732</v>
      </c>
      <c r="U35" s="33">
        <f t="shared" si="5"/>
        <v>141.732</v>
      </c>
      <c r="V35" s="34">
        <f t="shared" si="6"/>
        <v>0.5</v>
      </c>
    </row>
    <row r="36" ht="73" customHeight="1" spans="1:22">
      <c r="A36" s="22">
        <v>4</v>
      </c>
      <c r="B36" s="22" t="s">
        <v>52</v>
      </c>
      <c r="C36" s="22" t="s">
        <v>53</v>
      </c>
      <c r="D36" s="25" t="s">
        <v>54</v>
      </c>
      <c r="E36" s="22">
        <f>F36+N36+O36+P36+Q36</f>
        <v>2052.3375</v>
      </c>
      <c r="F36" s="22">
        <f>G36+I36+J36+K36+L36+M36</f>
        <v>2052.3375</v>
      </c>
      <c r="G36" s="22">
        <f>E37+E38+E39+E40+E41+E42+E43+E44+E45+E46+E47+E48+E49</f>
        <v>2052.3375</v>
      </c>
      <c r="H36" s="22"/>
      <c r="I36" s="22"/>
      <c r="J36" s="22"/>
      <c r="K36" s="22"/>
      <c r="L36" s="22"/>
      <c r="M36" s="22"/>
      <c r="N36" s="22"/>
      <c r="O36" s="22"/>
      <c r="P36" s="22"/>
      <c r="Q36" s="22"/>
      <c r="R36" s="22" t="s">
        <v>51</v>
      </c>
      <c r="S36" s="33">
        <v>0</v>
      </c>
      <c r="T36" s="33">
        <v>2052.3375</v>
      </c>
      <c r="U36" s="33">
        <f t="shared" si="5"/>
        <v>0</v>
      </c>
      <c r="V36" s="34">
        <f t="shared" si="6"/>
        <v>1</v>
      </c>
    </row>
    <row r="37" ht="73" customHeight="1" spans="1:22">
      <c r="A37" s="22"/>
      <c r="B37" s="22"/>
      <c r="C37" s="22" t="s">
        <v>53</v>
      </c>
      <c r="D37" s="25"/>
      <c r="E37" s="22">
        <v>8.96</v>
      </c>
      <c r="F37" s="22"/>
      <c r="G37" s="22"/>
      <c r="H37" s="22"/>
      <c r="I37" s="22"/>
      <c r="J37" s="22"/>
      <c r="K37" s="22"/>
      <c r="L37" s="22"/>
      <c r="M37" s="22"/>
      <c r="N37" s="22"/>
      <c r="O37" s="22"/>
      <c r="P37" s="22"/>
      <c r="Q37" s="22"/>
      <c r="R37" s="22" t="s">
        <v>31</v>
      </c>
      <c r="S37" s="33"/>
      <c r="T37" s="33">
        <v>8.96</v>
      </c>
      <c r="U37" s="33">
        <f t="shared" si="5"/>
        <v>0</v>
      </c>
      <c r="V37" s="34">
        <f t="shared" si="6"/>
        <v>1</v>
      </c>
    </row>
    <row r="38" ht="73" customHeight="1" spans="1:22">
      <c r="A38" s="22"/>
      <c r="B38" s="22"/>
      <c r="C38" s="22" t="s">
        <v>53</v>
      </c>
      <c r="D38" s="25"/>
      <c r="E38" s="22">
        <v>10.445</v>
      </c>
      <c r="F38" s="22"/>
      <c r="G38" s="22"/>
      <c r="H38" s="22"/>
      <c r="I38" s="22"/>
      <c r="J38" s="22"/>
      <c r="K38" s="22"/>
      <c r="L38" s="22"/>
      <c r="M38" s="22"/>
      <c r="N38" s="22"/>
      <c r="O38" s="22"/>
      <c r="P38" s="22"/>
      <c r="Q38" s="22"/>
      <c r="R38" s="22" t="s">
        <v>32</v>
      </c>
      <c r="S38" s="33"/>
      <c r="T38" s="33">
        <v>10.445</v>
      </c>
      <c r="U38" s="33">
        <f t="shared" si="5"/>
        <v>0</v>
      </c>
      <c r="V38" s="34">
        <f t="shared" si="6"/>
        <v>1</v>
      </c>
    </row>
    <row r="39" ht="73" customHeight="1" spans="1:22">
      <c r="A39" s="22"/>
      <c r="B39" s="22"/>
      <c r="C39" s="22" t="s">
        <v>53</v>
      </c>
      <c r="D39" s="25"/>
      <c r="E39" s="22">
        <v>362.225</v>
      </c>
      <c r="F39" s="22"/>
      <c r="G39" s="22"/>
      <c r="H39" s="22"/>
      <c r="I39" s="22"/>
      <c r="J39" s="22"/>
      <c r="K39" s="22"/>
      <c r="L39" s="22"/>
      <c r="M39" s="22"/>
      <c r="N39" s="22"/>
      <c r="O39" s="22"/>
      <c r="P39" s="22"/>
      <c r="Q39" s="22"/>
      <c r="R39" s="22" t="s">
        <v>33</v>
      </c>
      <c r="S39" s="33"/>
      <c r="T39" s="33">
        <v>362.225</v>
      </c>
      <c r="U39" s="33">
        <f t="shared" si="5"/>
        <v>0</v>
      </c>
      <c r="V39" s="34">
        <f t="shared" si="6"/>
        <v>1</v>
      </c>
    </row>
    <row r="40" ht="73" customHeight="1" spans="1:22">
      <c r="A40" s="22"/>
      <c r="B40" s="22"/>
      <c r="C40" s="22" t="s">
        <v>53</v>
      </c>
      <c r="D40" s="25"/>
      <c r="E40" s="22">
        <v>50.715</v>
      </c>
      <c r="F40" s="22"/>
      <c r="G40" s="22"/>
      <c r="H40" s="22"/>
      <c r="I40" s="22"/>
      <c r="J40" s="22"/>
      <c r="K40" s="22"/>
      <c r="L40" s="22"/>
      <c r="M40" s="22"/>
      <c r="N40" s="22"/>
      <c r="O40" s="22"/>
      <c r="P40" s="22"/>
      <c r="Q40" s="22"/>
      <c r="R40" s="22" t="s">
        <v>34</v>
      </c>
      <c r="S40" s="33"/>
      <c r="T40" s="33">
        <v>50.715</v>
      </c>
      <c r="U40" s="33">
        <f t="shared" si="5"/>
        <v>0</v>
      </c>
      <c r="V40" s="34">
        <f t="shared" si="6"/>
        <v>1</v>
      </c>
    </row>
    <row r="41" ht="73" customHeight="1" spans="1:22">
      <c r="A41" s="22"/>
      <c r="B41" s="22"/>
      <c r="C41" s="22" t="s">
        <v>53</v>
      </c>
      <c r="D41" s="25"/>
      <c r="E41" s="22">
        <v>22.99</v>
      </c>
      <c r="F41" s="22"/>
      <c r="G41" s="22"/>
      <c r="H41" s="22"/>
      <c r="I41" s="22"/>
      <c r="J41" s="22"/>
      <c r="K41" s="22"/>
      <c r="L41" s="22"/>
      <c r="M41" s="22"/>
      <c r="N41" s="22"/>
      <c r="O41" s="22"/>
      <c r="P41" s="22"/>
      <c r="Q41" s="22"/>
      <c r="R41" s="22" t="s">
        <v>35</v>
      </c>
      <c r="S41" s="33"/>
      <c r="T41" s="33">
        <v>22.99</v>
      </c>
      <c r="U41" s="33">
        <f t="shared" si="5"/>
        <v>0</v>
      </c>
      <c r="V41" s="34">
        <f t="shared" si="6"/>
        <v>1</v>
      </c>
    </row>
    <row r="42" ht="73" customHeight="1" spans="1:22">
      <c r="A42" s="22"/>
      <c r="B42" s="22"/>
      <c r="C42" s="22" t="s">
        <v>53</v>
      </c>
      <c r="D42" s="25"/>
      <c r="E42" s="22">
        <f>15.575-3.39-1.035</f>
        <v>11.15</v>
      </c>
      <c r="F42" s="22"/>
      <c r="G42" s="22"/>
      <c r="H42" s="22"/>
      <c r="I42" s="22"/>
      <c r="J42" s="22"/>
      <c r="K42" s="22"/>
      <c r="L42" s="22"/>
      <c r="M42" s="22"/>
      <c r="N42" s="22"/>
      <c r="O42" s="22"/>
      <c r="P42" s="22"/>
      <c r="Q42" s="22"/>
      <c r="R42" s="22" t="s">
        <v>36</v>
      </c>
      <c r="S42" s="33"/>
      <c r="T42" s="33">
        <v>11.15</v>
      </c>
      <c r="U42" s="33">
        <f t="shared" si="5"/>
        <v>0</v>
      </c>
      <c r="V42" s="34">
        <f t="shared" si="6"/>
        <v>1</v>
      </c>
    </row>
    <row r="43" ht="73" customHeight="1" spans="1:22">
      <c r="A43" s="22"/>
      <c r="B43" s="22"/>
      <c r="C43" s="22" t="s">
        <v>53</v>
      </c>
      <c r="D43" s="25"/>
      <c r="E43" s="22">
        <v>84.74</v>
      </c>
      <c r="F43" s="22"/>
      <c r="G43" s="22"/>
      <c r="H43" s="22"/>
      <c r="I43" s="22"/>
      <c r="J43" s="22"/>
      <c r="K43" s="22"/>
      <c r="L43" s="22"/>
      <c r="M43" s="22"/>
      <c r="N43" s="22"/>
      <c r="O43" s="22"/>
      <c r="P43" s="22"/>
      <c r="Q43" s="22"/>
      <c r="R43" s="22" t="s">
        <v>37</v>
      </c>
      <c r="S43" s="33"/>
      <c r="T43" s="33">
        <v>84.74</v>
      </c>
      <c r="U43" s="33">
        <f t="shared" si="5"/>
        <v>0</v>
      </c>
      <c r="V43" s="34">
        <f t="shared" si="6"/>
        <v>1</v>
      </c>
    </row>
    <row r="44" ht="73" customHeight="1" spans="1:22">
      <c r="A44" s="22"/>
      <c r="B44" s="22"/>
      <c r="C44" s="22" t="s">
        <v>53</v>
      </c>
      <c r="D44" s="25"/>
      <c r="E44" s="22">
        <v>371.795</v>
      </c>
      <c r="F44" s="22"/>
      <c r="G44" s="22"/>
      <c r="H44" s="22"/>
      <c r="I44" s="22"/>
      <c r="J44" s="22"/>
      <c r="K44" s="22"/>
      <c r="L44" s="22"/>
      <c r="M44" s="22"/>
      <c r="N44" s="22"/>
      <c r="O44" s="22"/>
      <c r="P44" s="22"/>
      <c r="Q44" s="22"/>
      <c r="R44" s="22" t="s">
        <v>38</v>
      </c>
      <c r="S44" s="33"/>
      <c r="T44" s="33">
        <v>371.795</v>
      </c>
      <c r="U44" s="33">
        <f t="shared" si="5"/>
        <v>0</v>
      </c>
      <c r="V44" s="34">
        <f t="shared" si="6"/>
        <v>1</v>
      </c>
    </row>
    <row r="45" ht="73" customHeight="1" spans="1:22">
      <c r="A45" s="22"/>
      <c r="B45" s="22"/>
      <c r="C45" s="22" t="s">
        <v>53</v>
      </c>
      <c r="D45" s="25"/>
      <c r="E45" s="22">
        <f>589.905-0.215</f>
        <v>589.69</v>
      </c>
      <c r="F45" s="22"/>
      <c r="G45" s="22"/>
      <c r="H45" s="22"/>
      <c r="I45" s="22"/>
      <c r="J45" s="22"/>
      <c r="K45" s="22"/>
      <c r="L45" s="22"/>
      <c r="M45" s="22"/>
      <c r="N45" s="22"/>
      <c r="O45" s="22"/>
      <c r="P45" s="22"/>
      <c r="Q45" s="22"/>
      <c r="R45" s="22" t="s">
        <v>39</v>
      </c>
      <c r="S45" s="33"/>
      <c r="T45" s="33">
        <v>589.69</v>
      </c>
      <c r="U45" s="33">
        <f t="shared" si="5"/>
        <v>0</v>
      </c>
      <c r="V45" s="34">
        <f t="shared" si="6"/>
        <v>1</v>
      </c>
    </row>
    <row r="46" ht="73" customHeight="1" spans="1:22">
      <c r="A46" s="22"/>
      <c r="B46" s="22"/>
      <c r="C46" s="22" t="s">
        <v>53</v>
      </c>
      <c r="D46" s="25"/>
      <c r="E46" s="22">
        <f>57.975+21.72</f>
        <v>79.695</v>
      </c>
      <c r="F46" s="22"/>
      <c r="G46" s="22"/>
      <c r="H46" s="22"/>
      <c r="I46" s="22"/>
      <c r="J46" s="22"/>
      <c r="K46" s="22"/>
      <c r="L46" s="22"/>
      <c r="M46" s="22"/>
      <c r="N46" s="22"/>
      <c r="O46" s="22"/>
      <c r="P46" s="22"/>
      <c r="Q46" s="22"/>
      <c r="R46" s="22" t="s">
        <v>40</v>
      </c>
      <c r="S46" s="33"/>
      <c r="T46" s="33">
        <v>79.695</v>
      </c>
      <c r="U46" s="33">
        <f t="shared" si="5"/>
        <v>0</v>
      </c>
      <c r="V46" s="34">
        <f t="shared" si="6"/>
        <v>1</v>
      </c>
    </row>
    <row r="47" ht="73" customHeight="1" spans="1:22">
      <c r="A47" s="22"/>
      <c r="B47" s="22"/>
      <c r="C47" s="22" t="s">
        <v>53</v>
      </c>
      <c r="D47" s="25"/>
      <c r="E47" s="22">
        <v>0</v>
      </c>
      <c r="F47" s="22"/>
      <c r="G47" s="22"/>
      <c r="H47" s="22"/>
      <c r="I47" s="22"/>
      <c r="J47" s="22"/>
      <c r="K47" s="22"/>
      <c r="L47" s="22"/>
      <c r="M47" s="22"/>
      <c r="N47" s="22"/>
      <c r="O47" s="22"/>
      <c r="P47" s="22"/>
      <c r="Q47" s="22"/>
      <c r="R47" s="22" t="s">
        <v>41</v>
      </c>
      <c r="S47" s="33"/>
      <c r="T47" s="33">
        <v>0</v>
      </c>
      <c r="U47" s="33">
        <f t="shared" si="5"/>
        <v>0</v>
      </c>
      <c r="V47" s="34" t="e">
        <f t="shared" si="6"/>
        <v>#DIV/0!</v>
      </c>
    </row>
    <row r="48" ht="73" customHeight="1" spans="1:22">
      <c r="A48" s="22"/>
      <c r="B48" s="22"/>
      <c r="C48" s="22" t="s">
        <v>53</v>
      </c>
      <c r="D48" s="25"/>
      <c r="E48" s="22">
        <f>28.14+7.77</f>
        <v>35.91</v>
      </c>
      <c r="F48" s="22"/>
      <c r="G48" s="22"/>
      <c r="H48" s="22"/>
      <c r="I48" s="22"/>
      <c r="J48" s="22"/>
      <c r="K48" s="22"/>
      <c r="L48" s="22"/>
      <c r="M48" s="22"/>
      <c r="N48" s="22"/>
      <c r="O48" s="22"/>
      <c r="P48" s="22"/>
      <c r="Q48" s="22"/>
      <c r="R48" s="22" t="s">
        <v>42</v>
      </c>
      <c r="S48" s="33"/>
      <c r="T48" s="33">
        <v>35.91</v>
      </c>
      <c r="U48" s="33">
        <f t="shared" si="5"/>
        <v>0</v>
      </c>
      <c r="V48" s="34">
        <f t="shared" si="6"/>
        <v>1</v>
      </c>
    </row>
    <row r="49" ht="73" customHeight="1" spans="1:22">
      <c r="A49" s="22"/>
      <c r="B49" s="22"/>
      <c r="C49" s="22" t="s">
        <v>53</v>
      </c>
      <c r="D49" s="25"/>
      <c r="E49" s="22">
        <v>424.0225</v>
      </c>
      <c r="F49" s="22"/>
      <c r="G49" s="22"/>
      <c r="H49" s="22"/>
      <c r="I49" s="22"/>
      <c r="J49" s="22"/>
      <c r="K49" s="22"/>
      <c r="L49" s="22"/>
      <c r="M49" s="22"/>
      <c r="N49" s="22"/>
      <c r="O49" s="22"/>
      <c r="P49" s="22"/>
      <c r="Q49" s="22"/>
      <c r="R49" s="22" t="s">
        <v>43</v>
      </c>
      <c r="S49" s="33"/>
      <c r="T49" s="33">
        <v>424.0225</v>
      </c>
      <c r="U49" s="33">
        <f t="shared" si="5"/>
        <v>0</v>
      </c>
      <c r="V49" s="34">
        <f t="shared" si="6"/>
        <v>1</v>
      </c>
    </row>
    <row r="50" ht="73" customHeight="1" spans="1:22">
      <c r="A50" s="22">
        <v>5</v>
      </c>
      <c r="B50" s="22" t="s">
        <v>55</v>
      </c>
      <c r="C50" s="22" t="s">
        <v>56</v>
      </c>
      <c r="D50" s="27" t="s">
        <v>57</v>
      </c>
      <c r="E50" s="22">
        <f>F50+N50+O50+P50+Q50</f>
        <v>85.272622</v>
      </c>
      <c r="F50" s="22">
        <f>G50+I50+J50+K50+L50+M50</f>
        <v>85.272622</v>
      </c>
      <c r="G50" s="22">
        <f>E51+E52+E53+E54+E55+E56+E57+E58+E59+E60+E61+E62</f>
        <v>85.272622</v>
      </c>
      <c r="H50" s="24"/>
      <c r="I50" s="22"/>
      <c r="J50" s="22"/>
      <c r="K50" s="22"/>
      <c r="L50" s="22"/>
      <c r="M50" s="22"/>
      <c r="N50" s="22"/>
      <c r="O50" s="22"/>
      <c r="P50" s="22"/>
      <c r="Q50" s="22"/>
      <c r="R50" s="22" t="s">
        <v>58</v>
      </c>
      <c r="S50" s="35">
        <v>0</v>
      </c>
      <c r="T50" s="35">
        <v>85.272622</v>
      </c>
      <c r="U50" s="33">
        <f t="shared" si="5"/>
        <v>0</v>
      </c>
      <c r="V50" s="34">
        <f t="shared" si="6"/>
        <v>1</v>
      </c>
    </row>
    <row r="51" ht="73" customHeight="1" spans="1:22">
      <c r="A51" s="22"/>
      <c r="B51" s="22"/>
      <c r="C51" s="22" t="s">
        <v>56</v>
      </c>
      <c r="D51" s="27"/>
      <c r="E51" s="22">
        <f t="shared" ref="E51:E62" si="7">F51</f>
        <v>6.4577</v>
      </c>
      <c r="F51" s="22">
        <f>8.0052-1.5475</f>
        <v>6.4577</v>
      </c>
      <c r="G51" s="22"/>
      <c r="H51" s="22"/>
      <c r="I51" s="22"/>
      <c r="J51" s="22"/>
      <c r="K51" s="22"/>
      <c r="L51" s="22"/>
      <c r="M51" s="22"/>
      <c r="N51" s="22"/>
      <c r="O51" s="22"/>
      <c r="P51" s="22"/>
      <c r="Q51" s="22"/>
      <c r="R51" s="22" t="s">
        <v>31</v>
      </c>
      <c r="S51" s="33"/>
      <c r="T51" s="33">
        <v>6.4577</v>
      </c>
      <c r="U51" s="33">
        <f t="shared" ref="U51:U82" si="8">E51-T51</f>
        <v>0</v>
      </c>
      <c r="V51" s="34">
        <f t="shared" si="6"/>
        <v>1</v>
      </c>
    </row>
    <row r="52" ht="73" customHeight="1" spans="1:22">
      <c r="A52" s="22"/>
      <c r="B52" s="22"/>
      <c r="C52" s="22" t="s">
        <v>56</v>
      </c>
      <c r="D52" s="27"/>
      <c r="E52" s="22">
        <f t="shared" si="7"/>
        <v>18.814652</v>
      </c>
      <c r="F52" s="22">
        <f>19.120365-0.305713</f>
        <v>18.814652</v>
      </c>
      <c r="G52" s="22"/>
      <c r="H52" s="22"/>
      <c r="I52" s="22"/>
      <c r="J52" s="22"/>
      <c r="K52" s="22"/>
      <c r="L52" s="22"/>
      <c r="M52" s="22"/>
      <c r="N52" s="22"/>
      <c r="O52" s="22"/>
      <c r="P52" s="22"/>
      <c r="Q52" s="22"/>
      <c r="R52" s="22" t="s">
        <v>32</v>
      </c>
      <c r="S52" s="33"/>
      <c r="T52" s="33">
        <v>18.814652</v>
      </c>
      <c r="U52" s="33">
        <f t="shared" si="8"/>
        <v>0</v>
      </c>
      <c r="V52" s="34">
        <f t="shared" si="6"/>
        <v>1</v>
      </c>
    </row>
    <row r="53" ht="73" customHeight="1" spans="1:22">
      <c r="A53" s="22"/>
      <c r="B53" s="22"/>
      <c r="C53" s="22" t="s">
        <v>56</v>
      </c>
      <c r="D53" s="27"/>
      <c r="E53" s="22">
        <f t="shared" si="7"/>
        <v>3.81468</v>
      </c>
      <c r="F53" s="22">
        <f>3.814755-0.000075</f>
        <v>3.81468</v>
      </c>
      <c r="G53" s="22"/>
      <c r="H53" s="22"/>
      <c r="I53" s="22"/>
      <c r="J53" s="22"/>
      <c r="K53" s="22"/>
      <c r="L53" s="22"/>
      <c r="M53" s="22"/>
      <c r="N53" s="22"/>
      <c r="O53" s="22"/>
      <c r="P53" s="22"/>
      <c r="Q53" s="22"/>
      <c r="R53" s="22" t="s">
        <v>33</v>
      </c>
      <c r="S53" s="33"/>
      <c r="T53" s="33">
        <v>3.81468</v>
      </c>
      <c r="U53" s="33">
        <f t="shared" si="8"/>
        <v>0</v>
      </c>
      <c r="V53" s="34">
        <f t="shared" si="6"/>
        <v>1</v>
      </c>
    </row>
    <row r="54" ht="73" customHeight="1" spans="1:22">
      <c r="A54" s="22"/>
      <c r="B54" s="22"/>
      <c r="C54" s="22" t="s">
        <v>56</v>
      </c>
      <c r="D54" s="27"/>
      <c r="E54" s="22">
        <f t="shared" si="7"/>
        <v>10.32387</v>
      </c>
      <c r="F54" s="22">
        <v>10.32387</v>
      </c>
      <c r="G54" s="22"/>
      <c r="H54" s="22"/>
      <c r="I54" s="22"/>
      <c r="J54" s="22"/>
      <c r="K54" s="22"/>
      <c r="L54" s="22"/>
      <c r="M54" s="22"/>
      <c r="N54" s="22"/>
      <c r="O54" s="22"/>
      <c r="P54" s="22"/>
      <c r="Q54" s="22"/>
      <c r="R54" s="22" t="s">
        <v>34</v>
      </c>
      <c r="S54" s="33"/>
      <c r="T54" s="33">
        <v>10.32387</v>
      </c>
      <c r="U54" s="33">
        <f t="shared" si="8"/>
        <v>0</v>
      </c>
      <c r="V54" s="34">
        <f t="shared" ref="V54:V85" si="9">T54/E54</f>
        <v>1</v>
      </c>
    </row>
    <row r="55" ht="73" customHeight="1" spans="1:22">
      <c r="A55" s="22"/>
      <c r="B55" s="22"/>
      <c r="C55" s="22" t="s">
        <v>56</v>
      </c>
      <c r="D55" s="27"/>
      <c r="E55" s="22">
        <f t="shared" si="7"/>
        <v>9.732</v>
      </c>
      <c r="F55" s="22">
        <v>9.732</v>
      </c>
      <c r="G55" s="22"/>
      <c r="H55" s="22"/>
      <c r="I55" s="22"/>
      <c r="J55" s="22"/>
      <c r="K55" s="22"/>
      <c r="L55" s="22"/>
      <c r="M55" s="22"/>
      <c r="N55" s="22"/>
      <c r="O55" s="22"/>
      <c r="P55" s="22"/>
      <c r="Q55" s="22"/>
      <c r="R55" s="22" t="s">
        <v>35</v>
      </c>
      <c r="S55" s="33"/>
      <c r="T55" s="33">
        <v>9.732</v>
      </c>
      <c r="U55" s="33">
        <f t="shared" si="8"/>
        <v>0</v>
      </c>
      <c r="V55" s="34">
        <f t="shared" si="9"/>
        <v>1</v>
      </c>
    </row>
    <row r="56" ht="73" customHeight="1" spans="1:22">
      <c r="A56" s="22"/>
      <c r="B56" s="22"/>
      <c r="C56" s="22" t="s">
        <v>56</v>
      </c>
      <c r="D56" s="27"/>
      <c r="E56" s="22">
        <f t="shared" si="7"/>
        <v>3.06135</v>
      </c>
      <c r="F56" s="22">
        <f>3.0876-0.02625</f>
        <v>3.06135</v>
      </c>
      <c r="G56" s="22"/>
      <c r="H56" s="22"/>
      <c r="I56" s="22"/>
      <c r="J56" s="22"/>
      <c r="K56" s="22"/>
      <c r="L56" s="22"/>
      <c r="M56" s="22"/>
      <c r="N56" s="22"/>
      <c r="O56" s="22"/>
      <c r="P56" s="22"/>
      <c r="Q56" s="22"/>
      <c r="R56" s="22" t="s">
        <v>36</v>
      </c>
      <c r="S56" s="33"/>
      <c r="T56" s="33">
        <v>3.06135</v>
      </c>
      <c r="U56" s="33">
        <f t="shared" si="8"/>
        <v>0</v>
      </c>
      <c r="V56" s="34">
        <f t="shared" si="9"/>
        <v>1</v>
      </c>
    </row>
    <row r="57" ht="73" customHeight="1" spans="1:22">
      <c r="A57" s="22"/>
      <c r="B57" s="22"/>
      <c r="C57" s="22" t="s">
        <v>56</v>
      </c>
      <c r="D57" s="27"/>
      <c r="E57" s="22">
        <f t="shared" si="7"/>
        <v>11.30682</v>
      </c>
      <c r="F57" s="22">
        <f>11.42772-0.1209</f>
        <v>11.30682</v>
      </c>
      <c r="G57" s="22"/>
      <c r="H57" s="22"/>
      <c r="I57" s="22"/>
      <c r="J57" s="22"/>
      <c r="K57" s="22"/>
      <c r="L57" s="22"/>
      <c r="M57" s="22"/>
      <c r="N57" s="22"/>
      <c r="O57" s="22"/>
      <c r="P57" s="22"/>
      <c r="Q57" s="22"/>
      <c r="R57" s="22" t="s">
        <v>37</v>
      </c>
      <c r="S57" s="33"/>
      <c r="T57" s="33">
        <v>11.30682</v>
      </c>
      <c r="U57" s="33">
        <f t="shared" si="8"/>
        <v>0</v>
      </c>
      <c r="V57" s="34">
        <f t="shared" si="9"/>
        <v>1</v>
      </c>
    </row>
    <row r="58" ht="73" customHeight="1" spans="1:22">
      <c r="A58" s="22"/>
      <c r="B58" s="22"/>
      <c r="C58" s="22" t="s">
        <v>56</v>
      </c>
      <c r="D58" s="27"/>
      <c r="E58" s="22">
        <f t="shared" si="7"/>
        <v>4.03245</v>
      </c>
      <c r="F58" s="22">
        <f>4.03545-0.003</f>
        <v>4.03245</v>
      </c>
      <c r="G58" s="22"/>
      <c r="H58" s="22"/>
      <c r="I58" s="22"/>
      <c r="J58" s="22"/>
      <c r="K58" s="22"/>
      <c r="L58" s="22"/>
      <c r="M58" s="22"/>
      <c r="N58" s="22"/>
      <c r="O58" s="22"/>
      <c r="P58" s="22"/>
      <c r="Q58" s="22"/>
      <c r="R58" s="22" t="s">
        <v>38</v>
      </c>
      <c r="S58" s="33"/>
      <c r="T58" s="33">
        <v>4.03245</v>
      </c>
      <c r="U58" s="33">
        <f t="shared" si="8"/>
        <v>0</v>
      </c>
      <c r="V58" s="34">
        <f t="shared" si="9"/>
        <v>1</v>
      </c>
    </row>
    <row r="59" ht="73" customHeight="1" spans="1:22">
      <c r="A59" s="22"/>
      <c r="B59" s="22"/>
      <c r="C59" s="22" t="s">
        <v>56</v>
      </c>
      <c r="D59" s="27"/>
      <c r="E59" s="22">
        <f t="shared" si="7"/>
        <v>3.41715</v>
      </c>
      <c r="F59" s="22">
        <v>3.41715</v>
      </c>
      <c r="G59" s="22"/>
      <c r="H59" s="22"/>
      <c r="I59" s="22"/>
      <c r="J59" s="22"/>
      <c r="K59" s="22"/>
      <c r="L59" s="22"/>
      <c r="M59" s="22"/>
      <c r="N59" s="22"/>
      <c r="O59" s="22"/>
      <c r="P59" s="22"/>
      <c r="Q59" s="22"/>
      <c r="R59" s="22" t="s">
        <v>40</v>
      </c>
      <c r="S59" s="33"/>
      <c r="T59" s="33">
        <v>3.41715</v>
      </c>
      <c r="U59" s="33">
        <f t="shared" si="8"/>
        <v>0</v>
      </c>
      <c r="V59" s="34">
        <f t="shared" si="9"/>
        <v>1</v>
      </c>
    </row>
    <row r="60" ht="73" customHeight="1" spans="1:22">
      <c r="A60" s="22"/>
      <c r="B60" s="22"/>
      <c r="C60" s="22" t="s">
        <v>56</v>
      </c>
      <c r="D60" s="27"/>
      <c r="E60" s="22">
        <f t="shared" si="7"/>
        <v>0.108</v>
      </c>
      <c r="F60" s="22">
        <v>0.108</v>
      </c>
      <c r="G60" s="22"/>
      <c r="H60" s="22"/>
      <c r="I60" s="22"/>
      <c r="J60" s="22"/>
      <c r="K60" s="22"/>
      <c r="L60" s="22"/>
      <c r="M60" s="22"/>
      <c r="N60" s="22"/>
      <c r="O60" s="22"/>
      <c r="P60" s="22"/>
      <c r="Q60" s="22"/>
      <c r="R60" s="22" t="s">
        <v>41</v>
      </c>
      <c r="S60" s="33"/>
      <c r="T60" s="33">
        <v>0.108</v>
      </c>
      <c r="U60" s="33">
        <f t="shared" si="8"/>
        <v>0</v>
      </c>
      <c r="V60" s="34">
        <f t="shared" si="9"/>
        <v>1</v>
      </c>
    </row>
    <row r="61" ht="73" customHeight="1" spans="1:22">
      <c r="A61" s="22"/>
      <c r="B61" s="22"/>
      <c r="C61" s="22" t="s">
        <v>56</v>
      </c>
      <c r="D61" s="27"/>
      <c r="E61" s="22">
        <f t="shared" si="7"/>
        <v>4.0833</v>
      </c>
      <c r="F61" s="22">
        <v>4.0833</v>
      </c>
      <c r="G61" s="22"/>
      <c r="H61" s="22"/>
      <c r="I61" s="22"/>
      <c r="J61" s="22"/>
      <c r="K61" s="22"/>
      <c r="L61" s="22"/>
      <c r="M61" s="22"/>
      <c r="N61" s="22"/>
      <c r="O61" s="22"/>
      <c r="P61" s="22"/>
      <c r="Q61" s="22"/>
      <c r="R61" s="22" t="s">
        <v>42</v>
      </c>
      <c r="S61" s="33"/>
      <c r="T61" s="33">
        <v>4.0833</v>
      </c>
      <c r="U61" s="33">
        <f t="shared" si="8"/>
        <v>0</v>
      </c>
      <c r="V61" s="34">
        <f t="shared" si="9"/>
        <v>1</v>
      </c>
    </row>
    <row r="62" ht="73" customHeight="1" spans="1:22">
      <c r="A62" s="22"/>
      <c r="B62" s="22"/>
      <c r="C62" s="22" t="s">
        <v>56</v>
      </c>
      <c r="D62" s="27"/>
      <c r="E62" s="22">
        <f t="shared" si="7"/>
        <v>10.12065</v>
      </c>
      <c r="F62" s="22">
        <f>11.778-1.65735</f>
        <v>10.12065</v>
      </c>
      <c r="G62" s="22"/>
      <c r="H62" s="22"/>
      <c r="I62" s="22"/>
      <c r="J62" s="22"/>
      <c r="K62" s="22"/>
      <c r="L62" s="22"/>
      <c r="M62" s="22"/>
      <c r="N62" s="22"/>
      <c r="O62" s="22"/>
      <c r="P62" s="22"/>
      <c r="Q62" s="22"/>
      <c r="R62" s="22" t="s">
        <v>43</v>
      </c>
      <c r="S62" s="33"/>
      <c r="T62" s="33">
        <v>10.12065</v>
      </c>
      <c r="U62" s="33">
        <f t="shared" si="8"/>
        <v>0</v>
      </c>
      <c r="V62" s="34">
        <f t="shared" si="9"/>
        <v>1</v>
      </c>
    </row>
    <row r="63" ht="73" customHeight="1" spans="1:22">
      <c r="A63" s="22">
        <v>6</v>
      </c>
      <c r="B63" s="22" t="s">
        <v>59</v>
      </c>
      <c r="C63" s="22" t="s">
        <v>60</v>
      </c>
      <c r="D63" s="25" t="s">
        <v>61</v>
      </c>
      <c r="E63" s="22">
        <f t="shared" ref="E63:E118" si="10">F63+N63+O63+P63+Q63</f>
        <v>583.170828</v>
      </c>
      <c r="F63" s="22">
        <f t="shared" ref="F63:F118" si="11">G63+I63+J63+K63+L63+M63</f>
        <v>583.170828</v>
      </c>
      <c r="G63" s="22">
        <f>610-31.9+5.070828</f>
        <v>583.170828</v>
      </c>
      <c r="H63" s="22"/>
      <c r="I63" s="22"/>
      <c r="J63" s="22"/>
      <c r="K63" s="22"/>
      <c r="L63" s="22"/>
      <c r="M63" s="22"/>
      <c r="N63" s="22"/>
      <c r="O63" s="22"/>
      <c r="P63" s="22"/>
      <c r="Q63" s="22"/>
      <c r="R63" s="22" t="s">
        <v>40</v>
      </c>
      <c r="S63" s="33">
        <v>60.8223</v>
      </c>
      <c r="T63" s="33">
        <v>565.3883</v>
      </c>
      <c r="U63" s="33">
        <f t="shared" si="8"/>
        <v>17.7825280000001</v>
      </c>
      <c r="V63" s="34">
        <f t="shared" si="9"/>
        <v>0.969507171576147</v>
      </c>
    </row>
    <row r="64" ht="73" customHeight="1" spans="1:22">
      <c r="A64" s="22">
        <v>7</v>
      </c>
      <c r="B64" s="22" t="s">
        <v>62</v>
      </c>
      <c r="C64" s="22" t="s">
        <v>63</v>
      </c>
      <c r="D64" s="25" t="s">
        <v>64</v>
      </c>
      <c r="E64" s="22">
        <f t="shared" si="10"/>
        <v>372.540379</v>
      </c>
      <c r="F64" s="22">
        <f t="shared" si="11"/>
        <v>372.540379</v>
      </c>
      <c r="G64" s="22">
        <f>385-8.83-3.629621</f>
        <v>372.540379</v>
      </c>
      <c r="H64" s="22"/>
      <c r="I64" s="22"/>
      <c r="J64" s="22"/>
      <c r="K64" s="22"/>
      <c r="L64" s="22"/>
      <c r="M64" s="22"/>
      <c r="N64" s="22"/>
      <c r="O64" s="22"/>
      <c r="P64" s="22"/>
      <c r="Q64" s="22"/>
      <c r="R64" s="22" t="s">
        <v>31</v>
      </c>
      <c r="S64" s="33"/>
      <c r="T64" s="33">
        <v>330.641663</v>
      </c>
      <c r="U64" s="33">
        <f t="shared" si="8"/>
        <v>41.898716</v>
      </c>
      <c r="V64" s="34">
        <f t="shared" si="9"/>
        <v>0.887532416989354</v>
      </c>
    </row>
    <row r="65" ht="73" customHeight="1" spans="1:22">
      <c r="A65" s="22">
        <v>8</v>
      </c>
      <c r="B65" s="22" t="s">
        <v>65</v>
      </c>
      <c r="C65" s="22" t="s">
        <v>66</v>
      </c>
      <c r="D65" s="25" t="s">
        <v>67</v>
      </c>
      <c r="E65" s="22">
        <f t="shared" si="10"/>
        <v>269.63966</v>
      </c>
      <c r="F65" s="22">
        <f t="shared" si="11"/>
        <v>269.63966</v>
      </c>
      <c r="G65" s="22">
        <f>300-26-4.36034</f>
        <v>269.63966</v>
      </c>
      <c r="H65" s="22"/>
      <c r="I65" s="22"/>
      <c r="J65" s="22"/>
      <c r="K65" s="22"/>
      <c r="L65" s="22"/>
      <c r="M65" s="22"/>
      <c r="N65" s="22"/>
      <c r="O65" s="22"/>
      <c r="P65" s="22"/>
      <c r="Q65" s="22"/>
      <c r="R65" s="22" t="s">
        <v>38</v>
      </c>
      <c r="S65" s="33"/>
      <c r="T65" s="33">
        <v>269.63966</v>
      </c>
      <c r="U65" s="33">
        <f t="shared" si="8"/>
        <v>0</v>
      </c>
      <c r="V65" s="34">
        <f t="shared" si="9"/>
        <v>1</v>
      </c>
    </row>
    <row r="66" ht="73" customHeight="1" spans="1:22">
      <c r="A66" s="22">
        <v>9</v>
      </c>
      <c r="B66" s="22" t="s">
        <v>68</v>
      </c>
      <c r="C66" s="26" t="s">
        <v>69</v>
      </c>
      <c r="D66" s="25" t="s">
        <v>70</v>
      </c>
      <c r="E66" s="22">
        <f t="shared" si="10"/>
        <v>253.679253</v>
      </c>
      <c r="F66" s="22">
        <f t="shared" si="11"/>
        <v>253.679253</v>
      </c>
      <c r="G66" s="22">
        <f>300-46.320747</f>
        <v>253.679253</v>
      </c>
      <c r="H66" s="22"/>
      <c r="I66" s="22"/>
      <c r="J66" s="22"/>
      <c r="K66" s="22"/>
      <c r="L66" s="22"/>
      <c r="M66" s="22"/>
      <c r="N66" s="22"/>
      <c r="O66" s="22"/>
      <c r="P66" s="22"/>
      <c r="Q66" s="22"/>
      <c r="R66" s="22" t="s">
        <v>42</v>
      </c>
      <c r="S66" s="33">
        <v>22.3357</v>
      </c>
      <c r="T66" s="33">
        <v>245.2576</v>
      </c>
      <c r="U66" s="33">
        <f t="shared" si="8"/>
        <v>8.42165299999999</v>
      </c>
      <c r="V66" s="34">
        <f t="shared" si="9"/>
        <v>0.966801963895723</v>
      </c>
    </row>
    <row r="67" ht="73" customHeight="1" spans="1:22">
      <c r="A67" s="22">
        <v>10</v>
      </c>
      <c r="B67" s="22" t="s">
        <v>71</v>
      </c>
      <c r="C67" s="22" t="s">
        <v>72</v>
      </c>
      <c r="D67" s="25" t="s">
        <v>73</v>
      </c>
      <c r="E67" s="22">
        <f t="shared" si="10"/>
        <v>85.671598</v>
      </c>
      <c r="F67" s="22">
        <f t="shared" si="11"/>
        <v>85.671598</v>
      </c>
      <c r="G67" s="22">
        <f>100-4.168583-10.159819</f>
        <v>85.671598</v>
      </c>
      <c r="H67" s="22"/>
      <c r="I67" s="22"/>
      <c r="J67" s="22"/>
      <c r="K67" s="22"/>
      <c r="L67" s="22"/>
      <c r="M67" s="22"/>
      <c r="N67" s="22"/>
      <c r="O67" s="22"/>
      <c r="P67" s="22"/>
      <c r="Q67" s="22"/>
      <c r="R67" s="22" t="s">
        <v>41</v>
      </c>
      <c r="S67" s="33"/>
      <c r="T67" s="33">
        <v>85.671598</v>
      </c>
      <c r="U67" s="33">
        <f t="shared" si="8"/>
        <v>0</v>
      </c>
      <c r="V67" s="34">
        <f t="shared" si="9"/>
        <v>1</v>
      </c>
    </row>
    <row r="68" ht="73" customHeight="1" spans="1:22">
      <c r="A68" s="22">
        <v>11</v>
      </c>
      <c r="B68" s="22" t="s">
        <v>74</v>
      </c>
      <c r="C68" s="22" t="s">
        <v>75</v>
      </c>
      <c r="D68" s="25" t="s">
        <v>76</v>
      </c>
      <c r="E68" s="22">
        <f t="shared" si="10"/>
        <v>92.047894</v>
      </c>
      <c r="F68" s="22">
        <f t="shared" si="11"/>
        <v>92.047894</v>
      </c>
      <c r="G68" s="22">
        <f>100-1.866474-6.085632</f>
        <v>92.047894</v>
      </c>
      <c r="H68" s="22"/>
      <c r="I68" s="22"/>
      <c r="J68" s="22"/>
      <c r="K68" s="22"/>
      <c r="L68" s="22"/>
      <c r="M68" s="22"/>
      <c r="N68" s="22"/>
      <c r="O68" s="22"/>
      <c r="P68" s="22"/>
      <c r="Q68" s="22"/>
      <c r="R68" s="22" t="s">
        <v>41</v>
      </c>
      <c r="S68" s="33"/>
      <c r="T68" s="33">
        <v>92.047894</v>
      </c>
      <c r="U68" s="33">
        <f t="shared" si="8"/>
        <v>0</v>
      </c>
      <c r="V68" s="34">
        <f t="shared" si="9"/>
        <v>1</v>
      </c>
    </row>
    <row r="69" ht="73" customHeight="1" spans="1:22">
      <c r="A69" s="22">
        <v>12</v>
      </c>
      <c r="B69" s="22" t="s">
        <v>77</v>
      </c>
      <c r="C69" s="22" t="s">
        <v>78</v>
      </c>
      <c r="D69" s="25" t="s">
        <v>79</v>
      </c>
      <c r="E69" s="22">
        <f t="shared" si="10"/>
        <v>380.177757</v>
      </c>
      <c r="F69" s="22">
        <f t="shared" si="11"/>
        <v>380.177757</v>
      </c>
      <c r="G69" s="22">
        <f>389-8.822243</f>
        <v>380.177757</v>
      </c>
      <c r="H69" s="22"/>
      <c r="I69" s="22"/>
      <c r="J69" s="22"/>
      <c r="K69" s="22"/>
      <c r="L69" s="22"/>
      <c r="M69" s="22"/>
      <c r="N69" s="22"/>
      <c r="O69" s="22"/>
      <c r="P69" s="22"/>
      <c r="Q69" s="22"/>
      <c r="R69" s="22" t="s">
        <v>43</v>
      </c>
      <c r="S69" s="33">
        <v>17.25</v>
      </c>
      <c r="T69" s="33">
        <v>356.109819</v>
      </c>
      <c r="U69" s="33">
        <f t="shared" si="8"/>
        <v>24.067938</v>
      </c>
      <c r="V69" s="34">
        <f t="shared" si="9"/>
        <v>0.936692934931488</v>
      </c>
    </row>
    <row r="70" ht="73" customHeight="1" spans="1:22">
      <c r="A70" s="22">
        <v>13</v>
      </c>
      <c r="B70" s="22" t="s">
        <v>80</v>
      </c>
      <c r="C70" s="22" t="s">
        <v>81</v>
      </c>
      <c r="D70" s="25" t="s">
        <v>82</v>
      </c>
      <c r="E70" s="22">
        <f t="shared" si="10"/>
        <v>372.996009</v>
      </c>
      <c r="F70" s="22">
        <f t="shared" si="11"/>
        <v>372.996009</v>
      </c>
      <c r="G70" s="22">
        <f>397-24.003991</f>
        <v>372.996009</v>
      </c>
      <c r="H70" s="22"/>
      <c r="I70" s="22"/>
      <c r="J70" s="22"/>
      <c r="K70" s="22"/>
      <c r="L70" s="22"/>
      <c r="M70" s="22"/>
      <c r="N70" s="22"/>
      <c r="O70" s="22"/>
      <c r="P70" s="22"/>
      <c r="Q70" s="22"/>
      <c r="R70" s="22" t="s">
        <v>43</v>
      </c>
      <c r="S70" s="33">
        <v>16.64</v>
      </c>
      <c r="T70" s="33">
        <v>349.069743</v>
      </c>
      <c r="U70" s="33">
        <f t="shared" si="8"/>
        <v>23.926266</v>
      </c>
      <c r="V70" s="34">
        <f t="shared" si="9"/>
        <v>0.93585382839847</v>
      </c>
    </row>
    <row r="71" ht="73" customHeight="1" spans="1:22">
      <c r="A71" s="22">
        <v>14</v>
      </c>
      <c r="B71" s="22" t="s">
        <v>83</v>
      </c>
      <c r="C71" s="36" t="s">
        <v>84</v>
      </c>
      <c r="D71" s="25" t="s">
        <v>85</v>
      </c>
      <c r="E71" s="22">
        <f t="shared" si="10"/>
        <v>244.381091</v>
      </c>
      <c r="F71" s="22">
        <f t="shared" si="11"/>
        <v>244.381091</v>
      </c>
      <c r="G71" s="22">
        <f>250-1-2.488394-1.2-0.930515</f>
        <v>244.381091</v>
      </c>
      <c r="H71" s="22"/>
      <c r="I71" s="22"/>
      <c r="J71" s="22"/>
      <c r="K71" s="22"/>
      <c r="L71" s="22"/>
      <c r="M71" s="22"/>
      <c r="N71" s="22"/>
      <c r="O71" s="22"/>
      <c r="P71" s="22"/>
      <c r="Q71" s="22"/>
      <c r="R71" s="22" t="s">
        <v>31</v>
      </c>
      <c r="S71" s="33">
        <v>20.13104</v>
      </c>
      <c r="T71" s="33">
        <v>241.548341</v>
      </c>
      <c r="U71" s="33">
        <f t="shared" si="8"/>
        <v>2.83275</v>
      </c>
      <c r="V71" s="34">
        <f t="shared" si="9"/>
        <v>0.988408473059808</v>
      </c>
    </row>
    <row r="72" ht="73" customHeight="1" spans="1:22">
      <c r="A72" s="22">
        <v>15</v>
      </c>
      <c r="B72" s="22" t="s">
        <v>86</v>
      </c>
      <c r="C72" s="22" t="s">
        <v>87</v>
      </c>
      <c r="D72" s="25" t="s">
        <v>88</v>
      </c>
      <c r="E72" s="22">
        <f t="shared" si="10"/>
        <v>837.781025</v>
      </c>
      <c r="F72" s="22">
        <f t="shared" si="11"/>
        <v>837.781025</v>
      </c>
      <c r="G72" s="22">
        <f>750+130-42.218975</f>
        <v>837.781025</v>
      </c>
      <c r="H72" s="22"/>
      <c r="I72" s="22"/>
      <c r="J72" s="22"/>
      <c r="K72" s="22"/>
      <c r="L72" s="22"/>
      <c r="M72" s="22"/>
      <c r="N72" s="22"/>
      <c r="O72" s="22"/>
      <c r="P72" s="22"/>
      <c r="Q72" s="22"/>
      <c r="R72" s="22" t="s">
        <v>89</v>
      </c>
      <c r="S72" s="33"/>
      <c r="T72" s="33">
        <v>828.957025</v>
      </c>
      <c r="U72" s="33">
        <f t="shared" si="8"/>
        <v>8.82400000000007</v>
      </c>
      <c r="V72" s="34">
        <f t="shared" si="9"/>
        <v>0.989467414829549</v>
      </c>
    </row>
    <row r="73" ht="73" customHeight="1" spans="1:22">
      <c r="A73" s="22">
        <v>16</v>
      </c>
      <c r="B73" s="22" t="s">
        <v>90</v>
      </c>
      <c r="C73" s="22" t="s">
        <v>91</v>
      </c>
      <c r="D73" s="25" t="s">
        <v>92</v>
      </c>
      <c r="E73" s="22">
        <f t="shared" si="10"/>
        <v>343.497124</v>
      </c>
      <c r="F73" s="22">
        <f t="shared" si="11"/>
        <v>343.497124</v>
      </c>
      <c r="G73" s="22">
        <f>360-15-1.502876</f>
        <v>343.497124</v>
      </c>
      <c r="H73" s="22"/>
      <c r="I73" s="22"/>
      <c r="J73" s="22"/>
      <c r="K73" s="22"/>
      <c r="L73" s="22"/>
      <c r="M73" s="22"/>
      <c r="N73" s="22"/>
      <c r="O73" s="22"/>
      <c r="P73" s="22"/>
      <c r="Q73" s="22"/>
      <c r="R73" s="22" t="s">
        <v>38</v>
      </c>
      <c r="S73" s="33"/>
      <c r="T73" s="33">
        <v>343.497124</v>
      </c>
      <c r="U73" s="33">
        <f t="shared" si="8"/>
        <v>0</v>
      </c>
      <c r="V73" s="34">
        <f t="shared" si="9"/>
        <v>1</v>
      </c>
    </row>
    <row r="74" ht="73" customHeight="1" spans="1:22">
      <c r="A74" s="22">
        <v>17</v>
      </c>
      <c r="B74" s="22" t="s">
        <v>93</v>
      </c>
      <c r="C74" s="22" t="s">
        <v>94</v>
      </c>
      <c r="D74" s="25" t="s">
        <v>95</v>
      </c>
      <c r="E74" s="22">
        <f t="shared" si="10"/>
        <v>926.019305</v>
      </c>
      <c r="F74" s="22">
        <f t="shared" si="11"/>
        <v>926.019305</v>
      </c>
      <c r="G74" s="22">
        <f>900+116.019305-90</f>
        <v>926.019305</v>
      </c>
      <c r="H74" s="22"/>
      <c r="I74" s="22"/>
      <c r="J74" s="22"/>
      <c r="K74" s="22"/>
      <c r="L74" s="22"/>
      <c r="M74" s="22"/>
      <c r="N74" s="22"/>
      <c r="O74" s="22"/>
      <c r="P74" s="22"/>
      <c r="Q74" s="22"/>
      <c r="R74" s="22" t="s">
        <v>96</v>
      </c>
      <c r="S74" s="33">
        <v>12.368863</v>
      </c>
      <c r="T74" s="33">
        <v>914.185258</v>
      </c>
      <c r="U74" s="33">
        <f t="shared" si="8"/>
        <v>11.8340469999999</v>
      </c>
      <c r="V74" s="34">
        <f t="shared" si="9"/>
        <v>0.987220518043088</v>
      </c>
    </row>
    <row r="75" ht="73" customHeight="1" spans="1:22">
      <c r="A75" s="22">
        <v>18</v>
      </c>
      <c r="B75" s="22" t="s">
        <v>97</v>
      </c>
      <c r="C75" s="22" t="s">
        <v>98</v>
      </c>
      <c r="D75" s="25" t="s">
        <v>99</v>
      </c>
      <c r="E75" s="22">
        <f t="shared" si="10"/>
        <v>1074.406635</v>
      </c>
      <c r="F75" s="22">
        <f t="shared" si="11"/>
        <v>1074.406635</v>
      </c>
      <c r="G75" s="22">
        <f>1100+24.406635-50</f>
        <v>1074.406635</v>
      </c>
      <c r="H75" s="22"/>
      <c r="I75" s="22"/>
      <c r="J75" s="22"/>
      <c r="K75" s="22"/>
      <c r="L75" s="22"/>
      <c r="M75" s="22"/>
      <c r="N75" s="22"/>
      <c r="O75" s="22"/>
      <c r="P75" s="22"/>
      <c r="Q75" s="22"/>
      <c r="R75" s="22" t="s">
        <v>96</v>
      </c>
      <c r="S75" s="33">
        <v>12.738902</v>
      </c>
      <c r="T75" s="33">
        <v>1011.335054</v>
      </c>
      <c r="U75" s="33">
        <f t="shared" si="8"/>
        <v>63.0715809999999</v>
      </c>
      <c r="V75" s="34">
        <f t="shared" si="9"/>
        <v>0.941296359362114</v>
      </c>
    </row>
    <row r="76" ht="73" customHeight="1" spans="1:22">
      <c r="A76" s="22">
        <v>19</v>
      </c>
      <c r="B76" s="22" t="s">
        <v>100</v>
      </c>
      <c r="C76" s="22" t="s">
        <v>101</v>
      </c>
      <c r="D76" s="25" t="s">
        <v>102</v>
      </c>
      <c r="E76" s="22">
        <f t="shared" si="10"/>
        <v>1030</v>
      </c>
      <c r="F76" s="22">
        <f t="shared" si="11"/>
        <v>1030</v>
      </c>
      <c r="G76" s="22">
        <f>1100-30-40</f>
        <v>1030</v>
      </c>
      <c r="H76" s="22"/>
      <c r="I76" s="22"/>
      <c r="J76" s="22"/>
      <c r="K76" s="22"/>
      <c r="L76" s="22"/>
      <c r="M76" s="22"/>
      <c r="N76" s="22"/>
      <c r="O76" s="22"/>
      <c r="P76" s="22"/>
      <c r="Q76" s="22"/>
      <c r="R76" s="22" t="s">
        <v>96</v>
      </c>
      <c r="S76" s="33">
        <v>13.126219</v>
      </c>
      <c r="T76" s="33">
        <v>960.771652</v>
      </c>
      <c r="U76" s="33">
        <f t="shared" si="8"/>
        <v>69.2283480000001</v>
      </c>
      <c r="V76" s="34">
        <f t="shared" si="9"/>
        <v>0.932788011650485</v>
      </c>
    </row>
    <row r="77" ht="73" customHeight="1" spans="1:22">
      <c r="A77" s="22">
        <v>20</v>
      </c>
      <c r="B77" s="22" t="s">
        <v>103</v>
      </c>
      <c r="C77" s="22" t="s">
        <v>104</v>
      </c>
      <c r="D77" s="25" t="s">
        <v>105</v>
      </c>
      <c r="E77" s="22">
        <f t="shared" si="10"/>
        <v>1711.857235</v>
      </c>
      <c r="F77" s="22">
        <f t="shared" si="11"/>
        <v>1711.857235</v>
      </c>
      <c r="G77" s="22">
        <f>1600+176.857235-65</f>
        <v>1711.857235</v>
      </c>
      <c r="H77" s="22"/>
      <c r="I77" s="22"/>
      <c r="J77" s="22"/>
      <c r="K77" s="22"/>
      <c r="L77" s="22"/>
      <c r="M77" s="22"/>
      <c r="N77" s="22"/>
      <c r="O77" s="22"/>
      <c r="P77" s="22"/>
      <c r="Q77" s="22"/>
      <c r="R77" s="22" t="s">
        <v>96</v>
      </c>
      <c r="S77" s="33">
        <v>19.059446</v>
      </c>
      <c r="T77" s="33">
        <v>1600.758811</v>
      </c>
      <c r="U77" s="33">
        <f t="shared" si="8"/>
        <v>111.098424</v>
      </c>
      <c r="V77" s="34">
        <f t="shared" si="9"/>
        <v>0.935100648740723</v>
      </c>
    </row>
    <row r="78" ht="73" customHeight="1" spans="1:22">
      <c r="A78" s="22">
        <v>21</v>
      </c>
      <c r="B78" s="22" t="s">
        <v>106</v>
      </c>
      <c r="C78" s="22" t="s">
        <v>107</v>
      </c>
      <c r="D78" s="25" t="s">
        <v>108</v>
      </c>
      <c r="E78" s="22">
        <f t="shared" si="10"/>
        <v>629.399883</v>
      </c>
      <c r="F78" s="22">
        <f t="shared" si="11"/>
        <v>629.399883</v>
      </c>
      <c r="G78" s="22">
        <f>600+82.399883-15-6.6-23.2-8.2</f>
        <v>629.399883</v>
      </c>
      <c r="H78" s="22"/>
      <c r="I78" s="22"/>
      <c r="J78" s="22"/>
      <c r="K78" s="22"/>
      <c r="L78" s="22"/>
      <c r="M78" s="22"/>
      <c r="N78" s="22"/>
      <c r="O78" s="22"/>
      <c r="P78" s="22"/>
      <c r="Q78" s="22"/>
      <c r="R78" s="22" t="s">
        <v>96</v>
      </c>
      <c r="S78" s="33">
        <v>7.256266</v>
      </c>
      <c r="T78" s="33">
        <v>607.39046</v>
      </c>
      <c r="U78" s="33">
        <f t="shared" si="8"/>
        <v>22.009423</v>
      </c>
      <c r="V78" s="34">
        <f t="shared" si="9"/>
        <v>0.965031097725832</v>
      </c>
    </row>
    <row r="79" ht="73" customHeight="1" spans="1:22">
      <c r="A79" s="22">
        <v>22</v>
      </c>
      <c r="B79" s="22" t="s">
        <v>109</v>
      </c>
      <c r="C79" s="22" t="s">
        <v>110</v>
      </c>
      <c r="D79" s="25" t="s">
        <v>111</v>
      </c>
      <c r="E79" s="22">
        <f t="shared" si="10"/>
        <v>632.985447</v>
      </c>
      <c r="F79" s="22">
        <f t="shared" si="11"/>
        <v>632.985447</v>
      </c>
      <c r="G79" s="22">
        <f>600+62.985447-30</f>
        <v>632.985447</v>
      </c>
      <c r="H79" s="22"/>
      <c r="I79" s="22"/>
      <c r="J79" s="22"/>
      <c r="K79" s="22"/>
      <c r="L79" s="22"/>
      <c r="M79" s="22"/>
      <c r="N79" s="22"/>
      <c r="O79" s="22"/>
      <c r="P79" s="22"/>
      <c r="Q79" s="22"/>
      <c r="R79" s="22" t="s">
        <v>96</v>
      </c>
      <c r="S79" s="33">
        <v>39.024475</v>
      </c>
      <c r="T79" s="33">
        <v>624.947668</v>
      </c>
      <c r="U79" s="33">
        <f t="shared" si="8"/>
        <v>8.03777899999989</v>
      </c>
      <c r="V79" s="34">
        <f t="shared" si="9"/>
        <v>0.987301794949482</v>
      </c>
    </row>
    <row r="80" ht="73" customHeight="1" spans="1:22">
      <c r="A80" s="22">
        <v>23</v>
      </c>
      <c r="B80" s="22" t="s">
        <v>112</v>
      </c>
      <c r="C80" s="22" t="s">
        <v>113</v>
      </c>
      <c r="D80" s="25" t="s">
        <v>114</v>
      </c>
      <c r="E80" s="22">
        <f t="shared" si="10"/>
        <v>816</v>
      </c>
      <c r="F80" s="22">
        <f t="shared" si="11"/>
        <v>816</v>
      </c>
      <c r="G80" s="22">
        <f>900-4-80</f>
        <v>816</v>
      </c>
      <c r="H80" s="22"/>
      <c r="I80" s="22"/>
      <c r="J80" s="22"/>
      <c r="K80" s="22"/>
      <c r="L80" s="22"/>
      <c r="M80" s="22"/>
      <c r="N80" s="22"/>
      <c r="O80" s="22"/>
      <c r="P80" s="22"/>
      <c r="Q80" s="22"/>
      <c r="R80" s="22" t="s">
        <v>96</v>
      </c>
      <c r="S80" s="33">
        <v>11.457022</v>
      </c>
      <c r="T80" s="33">
        <v>805.097526</v>
      </c>
      <c r="U80" s="33">
        <f t="shared" si="8"/>
        <v>10.902474</v>
      </c>
      <c r="V80" s="34">
        <f t="shared" si="9"/>
        <v>0.986639125</v>
      </c>
    </row>
    <row r="81" ht="73" customHeight="1" spans="1:22">
      <c r="A81" s="22">
        <v>24</v>
      </c>
      <c r="B81" s="22" t="s">
        <v>115</v>
      </c>
      <c r="C81" s="22" t="s">
        <v>116</v>
      </c>
      <c r="D81" s="25" t="s">
        <v>117</v>
      </c>
      <c r="E81" s="22">
        <f t="shared" si="10"/>
        <v>1040.112827</v>
      </c>
      <c r="F81" s="22">
        <f t="shared" si="11"/>
        <v>1040.112827</v>
      </c>
      <c r="G81" s="22">
        <f>1000+75.112827-17.1-2.578536-15.321464</f>
        <v>1040.112827</v>
      </c>
      <c r="H81" s="22"/>
      <c r="I81" s="22"/>
      <c r="J81" s="22"/>
      <c r="K81" s="22"/>
      <c r="L81" s="22"/>
      <c r="M81" s="22"/>
      <c r="N81" s="22"/>
      <c r="O81" s="22"/>
      <c r="P81" s="22"/>
      <c r="Q81" s="22"/>
      <c r="R81" s="22" t="s">
        <v>96</v>
      </c>
      <c r="S81" s="33">
        <v>74.633919</v>
      </c>
      <c r="T81" s="33">
        <v>1029.446927</v>
      </c>
      <c r="U81" s="33">
        <f t="shared" si="8"/>
        <v>10.6658999999997</v>
      </c>
      <c r="V81" s="34">
        <f t="shared" si="9"/>
        <v>0.989745439414719</v>
      </c>
    </row>
    <row r="82" ht="73" customHeight="1" spans="1:22">
      <c r="A82" s="22">
        <v>25</v>
      </c>
      <c r="B82" s="22" t="s">
        <v>118</v>
      </c>
      <c r="C82" s="22" t="s">
        <v>119</v>
      </c>
      <c r="D82" s="25" t="s">
        <v>120</v>
      </c>
      <c r="E82" s="22">
        <f t="shared" si="10"/>
        <v>2258</v>
      </c>
      <c r="F82" s="22">
        <f t="shared" si="11"/>
        <v>2258</v>
      </c>
      <c r="G82" s="22">
        <f>2400-50-84-8</f>
        <v>2258</v>
      </c>
      <c r="H82" s="22"/>
      <c r="I82" s="22"/>
      <c r="J82" s="22"/>
      <c r="K82" s="22"/>
      <c r="L82" s="22"/>
      <c r="M82" s="22"/>
      <c r="N82" s="22"/>
      <c r="O82" s="22"/>
      <c r="P82" s="22"/>
      <c r="Q82" s="22"/>
      <c r="R82" s="22" t="s">
        <v>96</v>
      </c>
      <c r="S82" s="33">
        <v>42.853985</v>
      </c>
      <c r="T82" s="33">
        <v>2114.608183</v>
      </c>
      <c r="U82" s="33">
        <f t="shared" si="8"/>
        <v>143.391817</v>
      </c>
      <c r="V82" s="34">
        <f t="shared" si="9"/>
        <v>0.936496095217006</v>
      </c>
    </row>
    <row r="83" ht="73" customHeight="1" spans="1:22">
      <c r="A83" s="22">
        <v>26</v>
      </c>
      <c r="B83" s="22" t="s">
        <v>121</v>
      </c>
      <c r="C83" s="22" t="s">
        <v>122</v>
      </c>
      <c r="D83" s="25" t="s">
        <v>123</v>
      </c>
      <c r="E83" s="22">
        <f t="shared" si="10"/>
        <v>901.604067</v>
      </c>
      <c r="F83" s="22">
        <f t="shared" si="11"/>
        <v>901.604067</v>
      </c>
      <c r="G83" s="22">
        <f>900+71.604067-20-48-2</f>
        <v>901.604067</v>
      </c>
      <c r="H83" s="22"/>
      <c r="I83" s="22"/>
      <c r="J83" s="22"/>
      <c r="K83" s="22"/>
      <c r="L83" s="22"/>
      <c r="M83" s="22"/>
      <c r="N83" s="22"/>
      <c r="O83" s="22"/>
      <c r="P83" s="22"/>
      <c r="Q83" s="22"/>
      <c r="R83" s="22" t="s">
        <v>96</v>
      </c>
      <c r="S83" s="33">
        <v>11.269209</v>
      </c>
      <c r="T83" s="33">
        <v>872.987789</v>
      </c>
      <c r="U83" s="33">
        <f t="shared" ref="U83:U114" si="12">E83-T83</f>
        <v>28.6162779999997</v>
      </c>
      <c r="V83" s="34">
        <f t="shared" si="9"/>
        <v>0.968260704396313</v>
      </c>
    </row>
    <row r="84" ht="73" customHeight="1" spans="1:22">
      <c r="A84" s="22">
        <v>27</v>
      </c>
      <c r="B84" s="22" t="s">
        <v>124</v>
      </c>
      <c r="C84" s="22" t="s">
        <v>125</v>
      </c>
      <c r="D84" s="25" t="s">
        <v>126</v>
      </c>
      <c r="E84" s="22">
        <f t="shared" si="10"/>
        <v>1477.299507</v>
      </c>
      <c r="F84" s="22">
        <f t="shared" si="11"/>
        <v>1477.299507</v>
      </c>
      <c r="G84" s="22">
        <f>1550+27.299507-60-40</f>
        <v>1477.299507</v>
      </c>
      <c r="H84" s="22"/>
      <c r="I84" s="22"/>
      <c r="J84" s="22"/>
      <c r="K84" s="22"/>
      <c r="L84" s="22"/>
      <c r="M84" s="22"/>
      <c r="N84" s="22"/>
      <c r="O84" s="22"/>
      <c r="P84" s="22"/>
      <c r="Q84" s="22"/>
      <c r="R84" s="22" t="s">
        <v>96</v>
      </c>
      <c r="S84" s="33">
        <v>31.34226</v>
      </c>
      <c r="T84" s="33">
        <v>1419.894418</v>
      </c>
      <c r="U84" s="33">
        <f t="shared" si="12"/>
        <v>57.4050890000003</v>
      </c>
      <c r="V84" s="34">
        <f t="shared" si="9"/>
        <v>0.961141874935994</v>
      </c>
    </row>
    <row r="85" ht="73" customHeight="1" spans="1:22">
      <c r="A85" s="22">
        <v>28</v>
      </c>
      <c r="B85" s="22" t="s">
        <v>127</v>
      </c>
      <c r="C85" s="22" t="s">
        <v>128</v>
      </c>
      <c r="D85" s="25" t="s">
        <v>129</v>
      </c>
      <c r="E85" s="22">
        <f t="shared" si="10"/>
        <v>1619.397112</v>
      </c>
      <c r="F85" s="22">
        <f t="shared" si="11"/>
        <v>1619.397112</v>
      </c>
      <c r="G85" s="22">
        <f>1650+29.397112-32.4-17.8-9.8</f>
        <v>1619.397112</v>
      </c>
      <c r="H85" s="22"/>
      <c r="I85" s="22"/>
      <c r="J85" s="22"/>
      <c r="K85" s="22"/>
      <c r="L85" s="22"/>
      <c r="M85" s="22"/>
      <c r="N85" s="22"/>
      <c r="O85" s="22"/>
      <c r="P85" s="22"/>
      <c r="Q85" s="22"/>
      <c r="R85" s="22" t="s">
        <v>96</v>
      </c>
      <c r="S85" s="33">
        <v>19.260561</v>
      </c>
      <c r="T85" s="33">
        <v>1512.367248</v>
      </c>
      <c r="U85" s="33">
        <f t="shared" si="12"/>
        <v>107.029864</v>
      </c>
      <c r="V85" s="34">
        <f t="shared" si="9"/>
        <v>0.933907586220272</v>
      </c>
    </row>
    <row r="86" ht="73" customHeight="1" spans="1:22">
      <c r="A86" s="22">
        <v>29</v>
      </c>
      <c r="B86" s="22" t="s">
        <v>130</v>
      </c>
      <c r="C86" s="22" t="s">
        <v>131</v>
      </c>
      <c r="D86" s="25" t="s">
        <v>132</v>
      </c>
      <c r="E86" s="22">
        <f t="shared" si="10"/>
        <v>973.116966</v>
      </c>
      <c r="F86" s="22">
        <f t="shared" si="11"/>
        <v>973.116966</v>
      </c>
      <c r="G86" s="22">
        <f>920+93.116966-40</f>
        <v>973.116966</v>
      </c>
      <c r="H86" s="22"/>
      <c r="I86" s="22"/>
      <c r="J86" s="22"/>
      <c r="K86" s="22"/>
      <c r="L86" s="22"/>
      <c r="M86" s="22"/>
      <c r="N86" s="22"/>
      <c r="O86" s="22"/>
      <c r="P86" s="22"/>
      <c r="Q86" s="22"/>
      <c r="R86" s="22" t="s">
        <v>96</v>
      </c>
      <c r="S86" s="33">
        <v>54.271358</v>
      </c>
      <c r="T86" s="33">
        <v>960.901498</v>
      </c>
      <c r="U86" s="33">
        <f t="shared" si="12"/>
        <v>12.2154680000001</v>
      </c>
      <c r="V86" s="34">
        <f t="shared" ref="V86:V117" si="13">T86/E86</f>
        <v>0.987447071187946</v>
      </c>
    </row>
    <row r="87" ht="73" customHeight="1" spans="1:22">
      <c r="A87" s="22">
        <v>30</v>
      </c>
      <c r="B87" s="22" t="s">
        <v>133</v>
      </c>
      <c r="C87" s="22" t="s">
        <v>134</v>
      </c>
      <c r="D87" s="25" t="s">
        <v>135</v>
      </c>
      <c r="E87" s="22">
        <f t="shared" si="10"/>
        <v>399.889745</v>
      </c>
      <c r="F87" s="22">
        <f t="shared" si="11"/>
        <v>399.889745</v>
      </c>
      <c r="G87" s="22">
        <f>400+4.889745-5</f>
        <v>399.889745</v>
      </c>
      <c r="H87" s="22"/>
      <c r="I87" s="22"/>
      <c r="J87" s="22"/>
      <c r="K87" s="22"/>
      <c r="L87" s="22"/>
      <c r="M87" s="22"/>
      <c r="N87" s="22"/>
      <c r="O87" s="22"/>
      <c r="P87" s="22"/>
      <c r="Q87" s="22"/>
      <c r="R87" s="22" t="s">
        <v>96</v>
      </c>
      <c r="S87" s="33">
        <v>39.331621</v>
      </c>
      <c r="T87" s="33">
        <v>392.58703</v>
      </c>
      <c r="U87" s="33">
        <f t="shared" si="12"/>
        <v>7.30271499999998</v>
      </c>
      <c r="V87" s="34">
        <f t="shared" si="13"/>
        <v>0.981738178857275</v>
      </c>
    </row>
    <row r="88" ht="73" customHeight="1" spans="1:22">
      <c r="A88" s="22">
        <v>31</v>
      </c>
      <c r="B88" s="22" t="s">
        <v>136</v>
      </c>
      <c r="C88" s="22" t="s">
        <v>137</v>
      </c>
      <c r="D88" s="25" t="s">
        <v>138</v>
      </c>
      <c r="E88" s="22">
        <f t="shared" si="10"/>
        <v>313.716782</v>
      </c>
      <c r="F88" s="22">
        <f t="shared" si="11"/>
        <v>313.716782</v>
      </c>
      <c r="G88" s="22">
        <f>344-18.59-3.009417-8.683801</f>
        <v>313.716782</v>
      </c>
      <c r="H88" s="22"/>
      <c r="I88" s="22"/>
      <c r="J88" s="22"/>
      <c r="K88" s="22"/>
      <c r="L88" s="22"/>
      <c r="M88" s="22"/>
      <c r="N88" s="22"/>
      <c r="O88" s="22"/>
      <c r="P88" s="22"/>
      <c r="Q88" s="22"/>
      <c r="R88" s="22" t="s">
        <v>31</v>
      </c>
      <c r="S88" s="33"/>
      <c r="T88" s="33">
        <v>311.724782</v>
      </c>
      <c r="U88" s="33">
        <f t="shared" si="12"/>
        <v>1.99200000000002</v>
      </c>
      <c r="V88" s="34">
        <f t="shared" si="13"/>
        <v>0.993650323749655</v>
      </c>
    </row>
    <row r="89" ht="73" customHeight="1" spans="1:22">
      <c r="A89" s="22">
        <v>32</v>
      </c>
      <c r="B89" s="22" t="s">
        <v>139</v>
      </c>
      <c r="C89" s="22" t="s">
        <v>140</v>
      </c>
      <c r="D89" s="25" t="s">
        <v>141</v>
      </c>
      <c r="E89" s="22">
        <f t="shared" si="10"/>
        <v>387.781231</v>
      </c>
      <c r="F89" s="22">
        <f t="shared" si="11"/>
        <v>387.781231</v>
      </c>
      <c r="G89" s="22">
        <f>388-0.218769</f>
        <v>387.781231</v>
      </c>
      <c r="H89" s="22"/>
      <c r="I89" s="22"/>
      <c r="J89" s="22"/>
      <c r="K89" s="22"/>
      <c r="L89" s="22"/>
      <c r="M89" s="22"/>
      <c r="N89" s="22"/>
      <c r="O89" s="22"/>
      <c r="P89" s="22"/>
      <c r="Q89" s="22"/>
      <c r="R89" s="22" t="s">
        <v>31</v>
      </c>
      <c r="S89" s="33"/>
      <c r="T89" s="33">
        <v>368.81493</v>
      </c>
      <c r="U89" s="33">
        <f t="shared" si="12"/>
        <v>18.966301</v>
      </c>
      <c r="V89" s="34">
        <f t="shared" si="13"/>
        <v>0.951090203744286</v>
      </c>
    </row>
    <row r="90" ht="73" customHeight="1" spans="1:22">
      <c r="A90" s="22">
        <v>33</v>
      </c>
      <c r="B90" s="22" t="s">
        <v>142</v>
      </c>
      <c r="C90" s="22" t="s">
        <v>143</v>
      </c>
      <c r="D90" s="25" t="s">
        <v>144</v>
      </c>
      <c r="E90" s="22">
        <f t="shared" si="10"/>
        <v>1030</v>
      </c>
      <c r="F90" s="22">
        <f t="shared" si="11"/>
        <v>1030</v>
      </c>
      <c r="G90" s="22">
        <f>1200-110-60</f>
        <v>1030</v>
      </c>
      <c r="H90" s="22"/>
      <c r="I90" s="22"/>
      <c r="J90" s="22"/>
      <c r="K90" s="22"/>
      <c r="L90" s="22"/>
      <c r="M90" s="22"/>
      <c r="N90" s="22"/>
      <c r="O90" s="22"/>
      <c r="P90" s="22"/>
      <c r="Q90" s="22"/>
      <c r="R90" s="22" t="s">
        <v>96</v>
      </c>
      <c r="S90" s="33">
        <v>17.391525</v>
      </c>
      <c r="T90" s="33">
        <v>977.559071</v>
      </c>
      <c r="U90" s="33">
        <f t="shared" si="12"/>
        <v>52.4409290000001</v>
      </c>
      <c r="V90" s="34">
        <f t="shared" si="13"/>
        <v>0.949086476699029</v>
      </c>
    </row>
    <row r="91" ht="73" customHeight="1" spans="1:22">
      <c r="A91" s="22">
        <v>34</v>
      </c>
      <c r="B91" s="22" t="s">
        <v>145</v>
      </c>
      <c r="C91" s="22" t="s">
        <v>146</v>
      </c>
      <c r="D91" s="25" t="s">
        <v>147</v>
      </c>
      <c r="E91" s="22">
        <f t="shared" si="10"/>
        <v>1189.644367</v>
      </c>
      <c r="F91" s="22">
        <f t="shared" si="11"/>
        <v>1189.644367</v>
      </c>
      <c r="G91" s="22">
        <f>1115+89.644367-15</f>
        <v>1189.644367</v>
      </c>
      <c r="H91" s="22"/>
      <c r="I91" s="22"/>
      <c r="J91" s="22"/>
      <c r="K91" s="22"/>
      <c r="L91" s="22"/>
      <c r="M91" s="22"/>
      <c r="N91" s="22"/>
      <c r="O91" s="22"/>
      <c r="P91" s="22"/>
      <c r="Q91" s="22"/>
      <c r="R91" s="22" t="s">
        <v>96</v>
      </c>
      <c r="S91" s="33">
        <v>108.872814</v>
      </c>
      <c r="T91" s="33">
        <v>1180.009842</v>
      </c>
      <c r="U91" s="33">
        <f t="shared" si="12"/>
        <v>9.63452499999994</v>
      </c>
      <c r="V91" s="34">
        <f t="shared" si="13"/>
        <v>0.991901340209515</v>
      </c>
    </row>
    <row r="92" ht="73" customHeight="1" spans="1:22">
      <c r="A92" s="22">
        <v>35</v>
      </c>
      <c r="B92" s="22" t="s">
        <v>148</v>
      </c>
      <c r="C92" s="22" t="s">
        <v>149</v>
      </c>
      <c r="D92" s="25" t="s">
        <v>150</v>
      </c>
      <c r="E92" s="22">
        <f t="shared" si="10"/>
        <v>361.570869</v>
      </c>
      <c r="F92" s="22">
        <f t="shared" si="11"/>
        <v>361.570869</v>
      </c>
      <c r="G92" s="22">
        <f>388-12.738016-13.691115</f>
        <v>361.570869</v>
      </c>
      <c r="H92" s="22"/>
      <c r="I92" s="22"/>
      <c r="J92" s="22"/>
      <c r="K92" s="22"/>
      <c r="L92" s="22"/>
      <c r="M92" s="22"/>
      <c r="N92" s="22"/>
      <c r="O92" s="22"/>
      <c r="P92" s="22"/>
      <c r="Q92" s="22"/>
      <c r="R92" s="22" t="s">
        <v>32</v>
      </c>
      <c r="S92" s="33">
        <v>13.522884</v>
      </c>
      <c r="T92" s="33">
        <v>352.943284</v>
      </c>
      <c r="U92" s="33">
        <f t="shared" si="12"/>
        <v>8.62758500000001</v>
      </c>
      <c r="V92" s="34">
        <f t="shared" si="13"/>
        <v>0.976138605900798</v>
      </c>
    </row>
    <row r="93" ht="73" customHeight="1" spans="1:22">
      <c r="A93" s="22">
        <v>36</v>
      </c>
      <c r="B93" s="22" t="s">
        <v>151</v>
      </c>
      <c r="C93" s="22" t="s">
        <v>152</v>
      </c>
      <c r="D93" s="25" t="s">
        <v>153</v>
      </c>
      <c r="E93" s="22">
        <f t="shared" si="10"/>
        <v>353.258473</v>
      </c>
      <c r="F93" s="22">
        <f t="shared" si="11"/>
        <v>353.258473</v>
      </c>
      <c r="G93" s="22">
        <f>388-29.5-5.241527</f>
        <v>353.258473</v>
      </c>
      <c r="H93" s="22"/>
      <c r="I93" s="22"/>
      <c r="J93" s="22"/>
      <c r="K93" s="22"/>
      <c r="L93" s="22"/>
      <c r="M93" s="22"/>
      <c r="N93" s="22"/>
      <c r="O93" s="22"/>
      <c r="P93" s="22"/>
      <c r="Q93" s="22"/>
      <c r="R93" s="22" t="s">
        <v>33</v>
      </c>
      <c r="S93" s="33"/>
      <c r="T93" s="33">
        <v>324.116617</v>
      </c>
      <c r="U93" s="33">
        <f t="shared" si="12"/>
        <v>29.141856</v>
      </c>
      <c r="V93" s="34">
        <f t="shared" si="13"/>
        <v>0.917505571055333</v>
      </c>
    </row>
    <row r="94" ht="73" customHeight="1" spans="1:22">
      <c r="A94" s="22">
        <v>37</v>
      </c>
      <c r="B94" s="22" t="s">
        <v>154</v>
      </c>
      <c r="C94" s="22" t="s">
        <v>155</v>
      </c>
      <c r="D94" s="25" t="s">
        <v>156</v>
      </c>
      <c r="E94" s="22">
        <f t="shared" si="10"/>
        <v>328.387327</v>
      </c>
      <c r="F94" s="22">
        <f t="shared" si="11"/>
        <v>328.387327</v>
      </c>
      <c r="G94" s="22">
        <f>388-25.317821-26.039547-8.255305</f>
        <v>328.387327</v>
      </c>
      <c r="H94" s="22"/>
      <c r="I94" s="22"/>
      <c r="J94" s="22"/>
      <c r="K94" s="22"/>
      <c r="L94" s="22"/>
      <c r="M94" s="22"/>
      <c r="N94" s="22"/>
      <c r="O94" s="22"/>
      <c r="P94" s="22"/>
      <c r="Q94" s="22"/>
      <c r="R94" s="22" t="s">
        <v>34</v>
      </c>
      <c r="S94" s="33">
        <v>10</v>
      </c>
      <c r="T94" s="33">
        <v>319.348352</v>
      </c>
      <c r="U94" s="33">
        <f t="shared" si="12"/>
        <v>9.03897500000005</v>
      </c>
      <c r="V94" s="34">
        <f t="shared" si="13"/>
        <v>0.972474653383929</v>
      </c>
    </row>
    <row r="95" ht="73" customHeight="1" spans="1:22">
      <c r="A95" s="22">
        <v>38</v>
      </c>
      <c r="B95" s="22" t="s">
        <v>157</v>
      </c>
      <c r="C95" s="22" t="s">
        <v>158</v>
      </c>
      <c r="D95" s="25" t="s">
        <v>159</v>
      </c>
      <c r="E95" s="22">
        <f t="shared" si="10"/>
        <v>1208</v>
      </c>
      <c r="F95" s="22">
        <f t="shared" si="11"/>
        <v>1208</v>
      </c>
      <c r="G95" s="22"/>
      <c r="H95" s="22"/>
      <c r="I95" s="22"/>
      <c r="J95" s="22">
        <f>1378-170</f>
        <v>1208</v>
      </c>
      <c r="K95" s="22"/>
      <c r="L95" s="22"/>
      <c r="M95" s="22"/>
      <c r="N95" s="22"/>
      <c r="O95" s="22"/>
      <c r="P95" s="22"/>
      <c r="Q95" s="22"/>
      <c r="R95" s="22" t="s">
        <v>96</v>
      </c>
      <c r="S95" s="33">
        <v>14.407484</v>
      </c>
      <c r="T95" s="33">
        <v>1085.967655</v>
      </c>
      <c r="U95" s="33">
        <f t="shared" si="12"/>
        <v>122.032345</v>
      </c>
      <c r="V95" s="34">
        <f t="shared" si="13"/>
        <v>0.898979846854305</v>
      </c>
    </row>
    <row r="96" ht="73" customHeight="1" spans="1:22">
      <c r="A96" s="22">
        <v>39</v>
      </c>
      <c r="B96" s="22" t="s">
        <v>160</v>
      </c>
      <c r="C96" s="22" t="s">
        <v>161</v>
      </c>
      <c r="D96" s="25" t="s">
        <v>162</v>
      </c>
      <c r="E96" s="22">
        <f t="shared" si="10"/>
        <v>352.901525</v>
      </c>
      <c r="F96" s="22">
        <f t="shared" si="11"/>
        <v>352.901525</v>
      </c>
      <c r="G96" s="22">
        <f>389-33.232555-0.3-2.56592</f>
        <v>352.901525</v>
      </c>
      <c r="H96" s="22"/>
      <c r="I96" s="22"/>
      <c r="J96" s="22"/>
      <c r="K96" s="22"/>
      <c r="L96" s="22"/>
      <c r="M96" s="22"/>
      <c r="N96" s="22"/>
      <c r="O96" s="22"/>
      <c r="P96" s="22"/>
      <c r="Q96" s="22"/>
      <c r="R96" s="22" t="s">
        <v>35</v>
      </c>
      <c r="S96" s="33"/>
      <c r="T96" s="33">
        <v>352.123525</v>
      </c>
      <c r="U96" s="33">
        <f t="shared" si="12"/>
        <v>0.77800000000002</v>
      </c>
      <c r="V96" s="34">
        <f t="shared" si="13"/>
        <v>0.997795418991176</v>
      </c>
    </row>
    <row r="97" ht="73" customHeight="1" spans="1:22">
      <c r="A97" s="22">
        <v>40</v>
      </c>
      <c r="B97" s="22" t="s">
        <v>163</v>
      </c>
      <c r="C97" s="22" t="s">
        <v>164</v>
      </c>
      <c r="D97" s="25" t="s">
        <v>165</v>
      </c>
      <c r="E97" s="22">
        <f t="shared" si="10"/>
        <v>360.609974</v>
      </c>
      <c r="F97" s="22">
        <f t="shared" si="11"/>
        <v>360.609974</v>
      </c>
      <c r="G97" s="22">
        <f>386-15.60667-9.783356</f>
        <v>360.609974</v>
      </c>
      <c r="H97" s="22"/>
      <c r="I97" s="22"/>
      <c r="J97" s="22"/>
      <c r="K97" s="22"/>
      <c r="L97" s="22"/>
      <c r="M97" s="22"/>
      <c r="N97" s="22"/>
      <c r="O97" s="22"/>
      <c r="P97" s="22"/>
      <c r="Q97" s="22"/>
      <c r="R97" s="22" t="s">
        <v>36</v>
      </c>
      <c r="S97" s="33"/>
      <c r="T97" s="33">
        <v>358.626513</v>
      </c>
      <c r="U97" s="33">
        <f t="shared" si="12"/>
        <v>1.98346099999998</v>
      </c>
      <c r="V97" s="34">
        <f t="shared" si="13"/>
        <v>0.99449970565706</v>
      </c>
    </row>
    <row r="98" ht="73" customHeight="1" spans="1:22">
      <c r="A98" s="22">
        <v>41</v>
      </c>
      <c r="B98" s="22" t="s">
        <v>166</v>
      </c>
      <c r="C98" s="22" t="s">
        <v>167</v>
      </c>
      <c r="D98" s="25" t="s">
        <v>168</v>
      </c>
      <c r="E98" s="22">
        <f t="shared" si="10"/>
        <v>321.94261</v>
      </c>
      <c r="F98" s="22">
        <f t="shared" si="11"/>
        <v>321.94261</v>
      </c>
      <c r="G98" s="22">
        <f>388-52.956693-13.100697</f>
        <v>321.94261</v>
      </c>
      <c r="H98" s="22"/>
      <c r="I98" s="22"/>
      <c r="J98" s="22"/>
      <c r="K98" s="22"/>
      <c r="L98" s="22"/>
      <c r="M98" s="22"/>
      <c r="N98" s="22"/>
      <c r="O98" s="22"/>
      <c r="P98" s="22"/>
      <c r="Q98" s="22"/>
      <c r="R98" s="22" t="s">
        <v>37</v>
      </c>
      <c r="S98" s="33">
        <v>20.239693</v>
      </c>
      <c r="T98" s="33">
        <v>303.669626</v>
      </c>
      <c r="U98" s="33">
        <f t="shared" si="12"/>
        <v>18.272984</v>
      </c>
      <c r="V98" s="34">
        <f t="shared" si="13"/>
        <v>0.943241486425174</v>
      </c>
    </row>
    <row r="99" ht="73" customHeight="1" spans="1:22">
      <c r="A99" s="22">
        <v>42</v>
      </c>
      <c r="B99" s="22" t="s">
        <v>169</v>
      </c>
      <c r="C99" s="22" t="s">
        <v>170</v>
      </c>
      <c r="D99" s="25" t="s">
        <v>171</v>
      </c>
      <c r="E99" s="22">
        <f t="shared" si="10"/>
        <v>374.521596</v>
      </c>
      <c r="F99" s="22">
        <f t="shared" si="11"/>
        <v>374.521596</v>
      </c>
      <c r="G99" s="22">
        <f>386-6-5.478404</f>
        <v>374.521596</v>
      </c>
      <c r="H99" s="22"/>
      <c r="I99" s="22"/>
      <c r="J99" s="22"/>
      <c r="K99" s="22"/>
      <c r="L99" s="22"/>
      <c r="M99" s="22"/>
      <c r="N99" s="22"/>
      <c r="O99" s="22"/>
      <c r="P99" s="22"/>
      <c r="Q99" s="22"/>
      <c r="R99" s="22" t="s">
        <v>38</v>
      </c>
      <c r="S99" s="33"/>
      <c r="T99" s="33">
        <v>374.521596</v>
      </c>
      <c r="U99" s="33">
        <f t="shared" si="12"/>
        <v>0</v>
      </c>
      <c r="V99" s="34">
        <f t="shared" si="13"/>
        <v>1</v>
      </c>
    </row>
    <row r="100" ht="73" customHeight="1" spans="1:22">
      <c r="A100" s="22">
        <v>43</v>
      </c>
      <c r="B100" s="22" t="s">
        <v>172</v>
      </c>
      <c r="C100" s="22" t="s">
        <v>173</v>
      </c>
      <c r="D100" s="25" t="s">
        <v>174</v>
      </c>
      <c r="E100" s="22">
        <f t="shared" si="10"/>
        <v>358.905079</v>
      </c>
      <c r="F100" s="22">
        <f t="shared" si="11"/>
        <v>358.905079</v>
      </c>
      <c r="G100" s="22">
        <f>389-8.834079-12.70163-8.559212</f>
        <v>358.905079</v>
      </c>
      <c r="H100" s="22"/>
      <c r="I100" s="22"/>
      <c r="J100" s="22"/>
      <c r="K100" s="22"/>
      <c r="L100" s="22"/>
      <c r="M100" s="22"/>
      <c r="N100" s="22"/>
      <c r="O100" s="22"/>
      <c r="P100" s="22"/>
      <c r="Q100" s="22"/>
      <c r="R100" s="22" t="s">
        <v>39</v>
      </c>
      <c r="S100" s="33"/>
      <c r="T100" s="33">
        <v>358.905079</v>
      </c>
      <c r="U100" s="33">
        <f t="shared" si="12"/>
        <v>0</v>
      </c>
      <c r="V100" s="34">
        <f t="shared" si="13"/>
        <v>1</v>
      </c>
    </row>
    <row r="101" ht="73" customHeight="1" spans="1:22">
      <c r="A101" s="22">
        <v>44</v>
      </c>
      <c r="B101" s="22" t="s">
        <v>175</v>
      </c>
      <c r="C101" s="22" t="s">
        <v>176</v>
      </c>
      <c r="D101" s="25" t="s">
        <v>177</v>
      </c>
      <c r="E101" s="22">
        <f t="shared" si="10"/>
        <v>1325.188755</v>
      </c>
      <c r="F101" s="22">
        <f t="shared" si="11"/>
        <v>1325.188755</v>
      </c>
      <c r="G101" s="22">
        <f>1350+15.188755-40</f>
        <v>1325.188755</v>
      </c>
      <c r="H101" s="22"/>
      <c r="I101" s="22"/>
      <c r="J101" s="22"/>
      <c r="K101" s="22"/>
      <c r="L101" s="22"/>
      <c r="M101" s="22"/>
      <c r="N101" s="22"/>
      <c r="O101" s="22"/>
      <c r="P101" s="22"/>
      <c r="Q101" s="22"/>
      <c r="R101" s="22" t="s">
        <v>96</v>
      </c>
      <c r="S101" s="33">
        <v>90.541276</v>
      </c>
      <c r="T101" s="33">
        <v>1310.858336</v>
      </c>
      <c r="U101" s="33">
        <f t="shared" si="12"/>
        <v>14.3304190000001</v>
      </c>
      <c r="V101" s="34">
        <f t="shared" si="13"/>
        <v>0.989186129941164</v>
      </c>
    </row>
    <row r="102" ht="73" customHeight="1" spans="1:22">
      <c r="A102" s="22">
        <v>45</v>
      </c>
      <c r="B102" s="22" t="s">
        <v>178</v>
      </c>
      <c r="C102" s="22" t="s">
        <v>179</v>
      </c>
      <c r="D102" s="25" t="s">
        <v>180</v>
      </c>
      <c r="E102" s="22">
        <f t="shared" si="10"/>
        <v>364</v>
      </c>
      <c r="F102" s="22">
        <f t="shared" si="11"/>
        <v>364</v>
      </c>
      <c r="G102" s="22">
        <f>388-24</f>
        <v>364</v>
      </c>
      <c r="H102" s="22"/>
      <c r="I102" s="22"/>
      <c r="J102" s="22"/>
      <c r="K102" s="22"/>
      <c r="L102" s="22"/>
      <c r="M102" s="22"/>
      <c r="N102" s="22"/>
      <c r="O102" s="22"/>
      <c r="P102" s="22"/>
      <c r="Q102" s="22"/>
      <c r="R102" s="22" t="s">
        <v>40</v>
      </c>
      <c r="S102" s="33">
        <v>37.7392</v>
      </c>
      <c r="T102" s="33">
        <v>355.8052</v>
      </c>
      <c r="U102" s="33">
        <f t="shared" si="12"/>
        <v>8.19479999999999</v>
      </c>
      <c r="V102" s="34">
        <f t="shared" si="13"/>
        <v>0.977486813186813</v>
      </c>
    </row>
    <row r="103" ht="73" customHeight="1" spans="1:22">
      <c r="A103" s="22">
        <v>46</v>
      </c>
      <c r="B103" s="22" t="s">
        <v>181</v>
      </c>
      <c r="C103" s="22" t="s">
        <v>182</v>
      </c>
      <c r="D103" s="25" t="s">
        <v>183</v>
      </c>
      <c r="E103" s="22">
        <f t="shared" si="10"/>
        <v>351.775925</v>
      </c>
      <c r="F103" s="22">
        <f t="shared" si="11"/>
        <v>351.775925</v>
      </c>
      <c r="G103" s="22">
        <f>386-26.410967-7.813108</f>
        <v>351.775925</v>
      </c>
      <c r="H103" s="22"/>
      <c r="I103" s="22"/>
      <c r="J103" s="22"/>
      <c r="K103" s="22"/>
      <c r="L103" s="22"/>
      <c r="M103" s="22"/>
      <c r="N103" s="22"/>
      <c r="O103" s="22"/>
      <c r="P103" s="22"/>
      <c r="Q103" s="22"/>
      <c r="R103" s="22" t="s">
        <v>184</v>
      </c>
      <c r="S103" s="33"/>
      <c r="T103" s="33">
        <v>351.775925</v>
      </c>
      <c r="U103" s="33">
        <f t="shared" si="12"/>
        <v>0</v>
      </c>
      <c r="V103" s="34">
        <f t="shared" si="13"/>
        <v>1</v>
      </c>
    </row>
    <row r="104" ht="73" customHeight="1" spans="1:22">
      <c r="A104" s="22">
        <v>47</v>
      </c>
      <c r="B104" s="22" t="s">
        <v>185</v>
      </c>
      <c r="C104" s="22" t="s">
        <v>186</v>
      </c>
      <c r="D104" s="25" t="s">
        <v>187</v>
      </c>
      <c r="E104" s="22">
        <f t="shared" si="10"/>
        <v>321.97296</v>
      </c>
      <c r="F104" s="22">
        <f t="shared" si="11"/>
        <v>321.97296</v>
      </c>
      <c r="G104" s="22">
        <f>388-51.095077-14.931963</f>
        <v>321.97296</v>
      </c>
      <c r="H104" s="22"/>
      <c r="I104" s="22"/>
      <c r="J104" s="22"/>
      <c r="K104" s="22"/>
      <c r="L104" s="22"/>
      <c r="M104" s="22"/>
      <c r="N104" s="22"/>
      <c r="O104" s="22"/>
      <c r="P104" s="22"/>
      <c r="Q104" s="22"/>
      <c r="R104" s="22" t="s">
        <v>43</v>
      </c>
      <c r="S104" s="33">
        <v>14.93</v>
      </c>
      <c r="T104" s="33">
        <v>317.30096</v>
      </c>
      <c r="U104" s="33">
        <f t="shared" si="12"/>
        <v>4.67200000000003</v>
      </c>
      <c r="V104" s="34">
        <f t="shared" si="13"/>
        <v>0.985489464705359</v>
      </c>
    </row>
    <row r="105" ht="73" customHeight="1" spans="1:22">
      <c r="A105" s="22">
        <v>48</v>
      </c>
      <c r="B105" s="22" t="s">
        <v>188</v>
      </c>
      <c r="C105" s="22" t="s">
        <v>189</v>
      </c>
      <c r="D105" s="25" t="s">
        <v>190</v>
      </c>
      <c r="E105" s="22">
        <f t="shared" si="10"/>
        <v>354.970678</v>
      </c>
      <c r="F105" s="22">
        <f t="shared" si="11"/>
        <v>354.970678</v>
      </c>
      <c r="G105" s="22">
        <f>385-30.029322</f>
        <v>354.970678</v>
      </c>
      <c r="H105" s="22"/>
      <c r="I105" s="22"/>
      <c r="J105" s="22"/>
      <c r="K105" s="22"/>
      <c r="L105" s="22"/>
      <c r="M105" s="22"/>
      <c r="N105" s="22"/>
      <c r="O105" s="22"/>
      <c r="P105" s="22"/>
      <c r="Q105" s="22"/>
      <c r="R105" s="22" t="s">
        <v>43</v>
      </c>
      <c r="S105" s="33">
        <v>15.6</v>
      </c>
      <c r="T105" s="33">
        <v>333.9372</v>
      </c>
      <c r="U105" s="33">
        <f t="shared" si="12"/>
        <v>21.033478</v>
      </c>
      <c r="V105" s="34">
        <f t="shared" si="13"/>
        <v>0.940745871973121</v>
      </c>
    </row>
    <row r="106" ht="73" customHeight="1" spans="1:22">
      <c r="A106" s="22">
        <v>49</v>
      </c>
      <c r="B106" s="22" t="s">
        <v>191</v>
      </c>
      <c r="C106" s="22" t="s">
        <v>192</v>
      </c>
      <c r="D106" s="25" t="s">
        <v>193</v>
      </c>
      <c r="E106" s="22">
        <f t="shared" si="10"/>
        <v>1353.378779</v>
      </c>
      <c r="F106" s="22">
        <f t="shared" si="11"/>
        <v>1353.378779</v>
      </c>
      <c r="G106" s="22">
        <f>800+225+23.558324+4.820455+300</f>
        <v>1353.378779</v>
      </c>
      <c r="H106" s="22"/>
      <c r="I106" s="22"/>
      <c r="J106" s="22"/>
      <c r="K106" s="22"/>
      <c r="L106" s="22"/>
      <c r="M106" s="22"/>
      <c r="N106" s="22"/>
      <c r="O106" s="22"/>
      <c r="P106" s="22"/>
      <c r="Q106" s="22"/>
      <c r="R106" s="22" t="s">
        <v>194</v>
      </c>
      <c r="S106" s="33"/>
      <c r="T106" s="33">
        <v>1053.378779</v>
      </c>
      <c r="U106" s="33">
        <f t="shared" si="12"/>
        <v>300</v>
      </c>
      <c r="V106" s="34">
        <f t="shared" si="13"/>
        <v>0.778332566865229</v>
      </c>
    </row>
    <row r="107" ht="73" customHeight="1" spans="1:22">
      <c r="A107" s="22">
        <v>50</v>
      </c>
      <c r="B107" s="22" t="s">
        <v>195</v>
      </c>
      <c r="C107" s="22" t="s">
        <v>196</v>
      </c>
      <c r="D107" s="25" t="s">
        <v>197</v>
      </c>
      <c r="E107" s="22">
        <f t="shared" si="10"/>
        <v>198</v>
      </c>
      <c r="F107" s="22">
        <f t="shared" si="11"/>
        <v>198</v>
      </c>
      <c r="G107" s="22">
        <f>217-19</f>
        <v>198</v>
      </c>
      <c r="H107" s="22"/>
      <c r="I107" s="22"/>
      <c r="J107" s="22"/>
      <c r="K107" s="22"/>
      <c r="L107" s="22"/>
      <c r="M107" s="22"/>
      <c r="N107" s="22"/>
      <c r="O107" s="22"/>
      <c r="P107" s="22"/>
      <c r="Q107" s="22"/>
      <c r="R107" s="22" t="s">
        <v>198</v>
      </c>
      <c r="S107" s="33">
        <v>16.9788</v>
      </c>
      <c r="T107" s="33">
        <v>187.2059</v>
      </c>
      <c r="U107" s="33">
        <f t="shared" si="12"/>
        <v>10.7941</v>
      </c>
      <c r="V107" s="34">
        <f t="shared" si="13"/>
        <v>0.945484343434344</v>
      </c>
    </row>
    <row r="108" ht="73" customHeight="1" spans="1:22">
      <c r="A108" s="22">
        <v>51</v>
      </c>
      <c r="B108" s="22" t="s">
        <v>199</v>
      </c>
      <c r="C108" s="22" t="s">
        <v>200</v>
      </c>
      <c r="D108" s="25" t="s">
        <v>201</v>
      </c>
      <c r="E108" s="22">
        <f t="shared" si="10"/>
        <v>323.89014</v>
      </c>
      <c r="F108" s="22">
        <f t="shared" si="11"/>
        <v>323.89014</v>
      </c>
      <c r="G108" s="22">
        <f>389-65.10986</f>
        <v>323.89014</v>
      </c>
      <c r="H108" s="22"/>
      <c r="I108" s="22"/>
      <c r="J108" s="22"/>
      <c r="K108" s="22"/>
      <c r="L108" s="22"/>
      <c r="M108" s="22"/>
      <c r="N108" s="22"/>
      <c r="O108" s="22"/>
      <c r="P108" s="22"/>
      <c r="Q108" s="22"/>
      <c r="R108" s="22" t="s">
        <v>89</v>
      </c>
      <c r="S108" s="33"/>
      <c r="T108" s="33">
        <v>236.551185</v>
      </c>
      <c r="U108" s="33">
        <f t="shared" si="12"/>
        <v>87.3389549999999</v>
      </c>
      <c r="V108" s="34">
        <f t="shared" si="13"/>
        <v>0.730343890678488</v>
      </c>
    </row>
    <row r="109" ht="73" customHeight="1" spans="1:22">
      <c r="A109" s="22">
        <v>52</v>
      </c>
      <c r="B109" s="22" t="s">
        <v>202</v>
      </c>
      <c r="C109" s="22" t="s">
        <v>203</v>
      </c>
      <c r="D109" s="25" t="s">
        <v>204</v>
      </c>
      <c r="E109" s="22">
        <f t="shared" si="10"/>
        <v>305.279184</v>
      </c>
      <c r="F109" s="22">
        <f t="shared" si="11"/>
        <v>305.279184</v>
      </c>
      <c r="G109" s="22">
        <f>350-40-3.070828-1.649988</f>
        <v>305.279184</v>
      </c>
      <c r="H109" s="22"/>
      <c r="I109" s="22"/>
      <c r="J109" s="22"/>
      <c r="K109" s="22"/>
      <c r="L109" s="22"/>
      <c r="M109" s="22"/>
      <c r="N109" s="22"/>
      <c r="O109" s="22"/>
      <c r="P109" s="22"/>
      <c r="Q109" s="22"/>
      <c r="R109" s="22" t="s">
        <v>34</v>
      </c>
      <c r="S109" s="33">
        <v>87.800602</v>
      </c>
      <c r="T109" s="33">
        <v>263.386706</v>
      </c>
      <c r="U109" s="33">
        <f t="shared" si="12"/>
        <v>41.892478</v>
      </c>
      <c r="V109" s="34">
        <f t="shared" si="13"/>
        <v>0.862773224655894</v>
      </c>
    </row>
    <row r="110" ht="73" customHeight="1" spans="1:22">
      <c r="A110" s="22">
        <v>53</v>
      </c>
      <c r="B110" s="22" t="s">
        <v>205</v>
      </c>
      <c r="C110" s="22" t="s">
        <v>206</v>
      </c>
      <c r="D110" s="25" t="s">
        <v>207</v>
      </c>
      <c r="E110" s="22">
        <f t="shared" si="10"/>
        <v>296</v>
      </c>
      <c r="F110" s="22">
        <f t="shared" si="11"/>
        <v>296</v>
      </c>
      <c r="G110" s="22">
        <f>350-40-14</f>
        <v>296</v>
      </c>
      <c r="H110" s="22"/>
      <c r="I110" s="22"/>
      <c r="J110" s="22"/>
      <c r="K110" s="22"/>
      <c r="L110" s="22"/>
      <c r="M110" s="22"/>
      <c r="N110" s="22"/>
      <c r="O110" s="22"/>
      <c r="P110" s="22"/>
      <c r="Q110" s="22"/>
      <c r="R110" s="22" t="s">
        <v>38</v>
      </c>
      <c r="S110" s="33">
        <v>31.589183</v>
      </c>
      <c r="T110" s="33">
        <v>287.969202</v>
      </c>
      <c r="U110" s="33">
        <f t="shared" si="12"/>
        <v>8.030798</v>
      </c>
      <c r="V110" s="34">
        <f t="shared" si="13"/>
        <v>0.972868925675676</v>
      </c>
    </row>
    <row r="111" ht="73" customHeight="1" spans="1:22">
      <c r="A111" s="22">
        <v>54</v>
      </c>
      <c r="B111" s="22" t="s">
        <v>208</v>
      </c>
      <c r="C111" s="22" t="s">
        <v>209</v>
      </c>
      <c r="D111" s="25" t="s">
        <v>210</v>
      </c>
      <c r="E111" s="22">
        <f t="shared" si="10"/>
        <v>331.232665</v>
      </c>
      <c r="F111" s="22">
        <f t="shared" si="11"/>
        <v>331.232665</v>
      </c>
      <c r="G111" s="22">
        <f>350-3.363153-15.404182</f>
        <v>331.232665</v>
      </c>
      <c r="H111" s="22"/>
      <c r="I111" s="22"/>
      <c r="J111" s="22"/>
      <c r="K111" s="22"/>
      <c r="L111" s="22"/>
      <c r="M111" s="22"/>
      <c r="N111" s="22"/>
      <c r="O111" s="22"/>
      <c r="P111" s="22"/>
      <c r="Q111" s="22"/>
      <c r="R111" s="22" t="s">
        <v>211</v>
      </c>
      <c r="S111" s="33">
        <v>181.658504</v>
      </c>
      <c r="T111" s="33">
        <v>282.041356</v>
      </c>
      <c r="U111" s="33">
        <f t="shared" si="12"/>
        <v>49.191309</v>
      </c>
      <c r="V111" s="34">
        <f t="shared" si="13"/>
        <v>0.851490163266355</v>
      </c>
    </row>
    <row r="112" ht="73" customHeight="1" spans="1:22">
      <c r="A112" s="22">
        <v>55</v>
      </c>
      <c r="B112" s="22" t="s">
        <v>212</v>
      </c>
      <c r="C112" s="22" t="s">
        <v>213</v>
      </c>
      <c r="D112" s="25" t="s">
        <v>214</v>
      </c>
      <c r="E112" s="22">
        <f t="shared" si="10"/>
        <v>298.163153</v>
      </c>
      <c r="F112" s="22">
        <f t="shared" si="11"/>
        <v>298.163153</v>
      </c>
      <c r="G112" s="22">
        <f>350-19.2-32.636847</f>
        <v>298.163153</v>
      </c>
      <c r="H112" s="22"/>
      <c r="I112" s="22"/>
      <c r="J112" s="22"/>
      <c r="K112" s="22"/>
      <c r="L112" s="22"/>
      <c r="M112" s="22"/>
      <c r="N112" s="22"/>
      <c r="O112" s="22"/>
      <c r="P112" s="22"/>
      <c r="Q112" s="22"/>
      <c r="R112" s="22" t="s">
        <v>211</v>
      </c>
      <c r="S112" s="33">
        <v>1.237</v>
      </c>
      <c r="T112" s="33">
        <v>258.74161</v>
      </c>
      <c r="U112" s="33">
        <f t="shared" si="12"/>
        <v>39.421543</v>
      </c>
      <c r="V112" s="34">
        <f t="shared" si="13"/>
        <v>0.867785329597719</v>
      </c>
    </row>
    <row r="113" ht="73" customHeight="1" spans="1:22">
      <c r="A113" s="22">
        <v>56</v>
      </c>
      <c r="B113" s="22" t="s">
        <v>215</v>
      </c>
      <c r="C113" s="22" t="s">
        <v>216</v>
      </c>
      <c r="D113" s="25" t="s">
        <v>217</v>
      </c>
      <c r="E113" s="22">
        <f t="shared" si="10"/>
        <v>367.949304</v>
      </c>
      <c r="F113" s="22">
        <f t="shared" si="11"/>
        <v>367.949304</v>
      </c>
      <c r="G113" s="22">
        <f>380-12.050696</f>
        <v>367.949304</v>
      </c>
      <c r="H113" s="22"/>
      <c r="I113" s="22"/>
      <c r="J113" s="22"/>
      <c r="K113" s="22"/>
      <c r="L113" s="22"/>
      <c r="M113" s="22"/>
      <c r="N113" s="22"/>
      <c r="O113" s="22"/>
      <c r="P113" s="22"/>
      <c r="Q113" s="22"/>
      <c r="R113" s="22" t="s">
        <v>36</v>
      </c>
      <c r="S113" s="33">
        <v>16.6504</v>
      </c>
      <c r="T113" s="33">
        <v>342.381</v>
      </c>
      <c r="U113" s="33">
        <f t="shared" si="12"/>
        <v>25.568304</v>
      </c>
      <c r="V113" s="34">
        <f t="shared" si="13"/>
        <v>0.930511340225283</v>
      </c>
    </row>
    <row r="114" ht="73" customHeight="1" spans="1:22">
      <c r="A114" s="22">
        <v>57</v>
      </c>
      <c r="B114" s="22" t="s">
        <v>218</v>
      </c>
      <c r="C114" s="22" t="s">
        <v>219</v>
      </c>
      <c r="D114" s="25" t="s">
        <v>220</v>
      </c>
      <c r="E114" s="22">
        <f t="shared" si="10"/>
        <v>374.947461</v>
      </c>
      <c r="F114" s="22">
        <f t="shared" si="11"/>
        <v>374.947461</v>
      </c>
      <c r="G114" s="22">
        <f>376-1.052539</f>
        <v>374.947461</v>
      </c>
      <c r="H114" s="22"/>
      <c r="I114" s="22"/>
      <c r="J114" s="22"/>
      <c r="K114" s="22"/>
      <c r="L114" s="22"/>
      <c r="M114" s="22"/>
      <c r="N114" s="22"/>
      <c r="O114" s="22"/>
      <c r="P114" s="22"/>
      <c r="Q114" s="22"/>
      <c r="R114" s="22" t="s">
        <v>32</v>
      </c>
      <c r="S114" s="33">
        <v>129.624909</v>
      </c>
      <c r="T114" s="33">
        <v>349.560151</v>
      </c>
      <c r="U114" s="33">
        <f t="shared" si="12"/>
        <v>25.38731</v>
      </c>
      <c r="V114" s="34">
        <f t="shared" si="13"/>
        <v>0.932291020367784</v>
      </c>
    </row>
    <row r="115" ht="73" customHeight="1" spans="1:22">
      <c r="A115" s="22">
        <v>58</v>
      </c>
      <c r="B115" s="22" t="s">
        <v>221</v>
      </c>
      <c r="C115" s="22" t="s">
        <v>222</v>
      </c>
      <c r="D115" s="25" t="s">
        <v>223</v>
      </c>
      <c r="E115" s="22">
        <f t="shared" si="10"/>
        <v>382</v>
      </c>
      <c r="F115" s="22">
        <f t="shared" si="11"/>
        <v>382</v>
      </c>
      <c r="G115" s="22">
        <f>389-7</f>
        <v>382</v>
      </c>
      <c r="H115" s="22"/>
      <c r="I115" s="22"/>
      <c r="J115" s="22"/>
      <c r="K115" s="22"/>
      <c r="L115" s="22"/>
      <c r="M115" s="22"/>
      <c r="N115" s="22"/>
      <c r="O115" s="22"/>
      <c r="P115" s="22"/>
      <c r="Q115" s="22"/>
      <c r="R115" s="22" t="s">
        <v>40</v>
      </c>
      <c r="S115" s="33">
        <v>130.1581</v>
      </c>
      <c r="T115" s="33">
        <v>361.0553</v>
      </c>
      <c r="U115" s="33">
        <f t="shared" ref="U115:U146" si="14">E115-T115</f>
        <v>20.9447</v>
      </c>
      <c r="V115" s="34">
        <f t="shared" si="13"/>
        <v>0.945170942408377</v>
      </c>
    </row>
    <row r="116" ht="73" customHeight="1" spans="1:22">
      <c r="A116" s="22">
        <v>59</v>
      </c>
      <c r="B116" s="22" t="s">
        <v>224</v>
      </c>
      <c r="C116" s="22" t="s">
        <v>225</v>
      </c>
      <c r="D116" s="25" t="s">
        <v>226</v>
      </c>
      <c r="E116" s="22">
        <f t="shared" si="10"/>
        <v>305</v>
      </c>
      <c r="F116" s="22">
        <f t="shared" si="11"/>
        <v>305</v>
      </c>
      <c r="G116" s="22"/>
      <c r="H116" s="22"/>
      <c r="I116" s="39">
        <f>305</f>
        <v>305</v>
      </c>
      <c r="J116" s="22"/>
      <c r="K116" s="22"/>
      <c r="L116" s="22"/>
      <c r="M116" s="22"/>
      <c r="N116" s="22"/>
      <c r="O116" s="22"/>
      <c r="P116" s="22"/>
      <c r="Q116" s="22"/>
      <c r="R116" s="22" t="s">
        <v>227</v>
      </c>
      <c r="S116" s="33"/>
      <c r="T116" s="33">
        <v>253.171346</v>
      </c>
      <c r="U116" s="33">
        <f t="shared" si="14"/>
        <v>51.828654</v>
      </c>
      <c r="V116" s="34">
        <f t="shared" si="13"/>
        <v>0.830069986885246</v>
      </c>
    </row>
    <row r="117" ht="73" customHeight="1" spans="1:22">
      <c r="A117" s="22">
        <v>60</v>
      </c>
      <c r="B117" s="22" t="s">
        <v>228</v>
      </c>
      <c r="C117" s="22" t="s">
        <v>229</v>
      </c>
      <c r="D117" s="25" t="s">
        <v>230</v>
      </c>
      <c r="E117" s="22">
        <f t="shared" si="10"/>
        <v>188.811457</v>
      </c>
      <c r="F117" s="22">
        <f t="shared" si="11"/>
        <v>188.811457</v>
      </c>
      <c r="G117" s="22"/>
      <c r="H117" s="22"/>
      <c r="I117" s="22"/>
      <c r="J117" s="39">
        <f>229-40.188543</f>
        <v>188.811457</v>
      </c>
      <c r="K117" s="22"/>
      <c r="L117" s="22"/>
      <c r="M117" s="22"/>
      <c r="N117" s="22"/>
      <c r="O117" s="22"/>
      <c r="P117" s="22"/>
      <c r="Q117" s="22"/>
      <c r="R117" s="22" t="s">
        <v>231</v>
      </c>
      <c r="S117" s="33">
        <v>55.761782</v>
      </c>
      <c r="T117" s="33">
        <v>174.137487</v>
      </c>
      <c r="U117" s="33">
        <f t="shared" si="14"/>
        <v>14.67397</v>
      </c>
      <c r="V117" s="34">
        <f t="shared" si="13"/>
        <v>0.922282417427667</v>
      </c>
    </row>
    <row r="118" ht="73" customHeight="1" spans="1:22">
      <c r="A118" s="22">
        <v>61</v>
      </c>
      <c r="B118" s="22" t="s">
        <v>232</v>
      </c>
      <c r="C118" s="37" t="s">
        <v>233</v>
      </c>
      <c r="D118" s="38" t="s">
        <v>234</v>
      </c>
      <c r="E118" s="22">
        <f t="shared" si="10"/>
        <v>153.450757</v>
      </c>
      <c r="F118" s="22">
        <f t="shared" si="11"/>
        <v>153.450757</v>
      </c>
      <c r="G118" s="22"/>
      <c r="H118" s="22"/>
      <c r="I118" s="22"/>
      <c r="J118" s="39">
        <f>170-16.549243</f>
        <v>153.450757</v>
      </c>
      <c r="K118" s="22"/>
      <c r="L118" s="22"/>
      <c r="M118" s="22"/>
      <c r="N118" s="22"/>
      <c r="O118" s="22"/>
      <c r="P118" s="22"/>
      <c r="Q118" s="22"/>
      <c r="R118" s="22" t="s">
        <v>37</v>
      </c>
      <c r="S118" s="33">
        <v>104.070264</v>
      </c>
      <c r="T118" s="33">
        <v>142.403111</v>
      </c>
      <c r="U118" s="33">
        <f t="shared" si="14"/>
        <v>11.047646</v>
      </c>
      <c r="V118" s="34">
        <f t="shared" ref="V118:V149" si="15">T118/E118</f>
        <v>0.928005268817279</v>
      </c>
    </row>
    <row r="119" s="3" customFormat="1" ht="73" customHeight="1" spans="1:22">
      <c r="A119" s="22" t="s">
        <v>235</v>
      </c>
      <c r="B119" s="22"/>
      <c r="C119" s="22" t="s">
        <v>236</v>
      </c>
      <c r="D119" s="22"/>
      <c r="E119" s="22">
        <f t="shared" ref="E119:Q119" si="16">E120+E134+E135+E136</f>
        <v>6713.123154</v>
      </c>
      <c r="F119" s="22">
        <f t="shared" si="16"/>
        <v>6713.123154</v>
      </c>
      <c r="G119" s="22">
        <f t="shared" si="16"/>
        <v>3431.867578</v>
      </c>
      <c r="H119" s="22">
        <f t="shared" si="16"/>
        <v>3281.255576</v>
      </c>
      <c r="I119" s="22">
        <f t="shared" si="16"/>
        <v>0</v>
      </c>
      <c r="J119" s="22">
        <f t="shared" si="16"/>
        <v>0</v>
      </c>
      <c r="K119" s="22">
        <f t="shared" si="16"/>
        <v>0</v>
      </c>
      <c r="L119" s="22">
        <f t="shared" si="16"/>
        <v>0</v>
      </c>
      <c r="M119" s="22">
        <f t="shared" si="16"/>
        <v>0</v>
      </c>
      <c r="N119" s="22">
        <f t="shared" si="16"/>
        <v>0</v>
      </c>
      <c r="O119" s="22">
        <f t="shared" si="16"/>
        <v>0</v>
      </c>
      <c r="P119" s="22">
        <f t="shared" si="16"/>
        <v>0</v>
      </c>
      <c r="Q119" s="22">
        <f t="shared" si="16"/>
        <v>0</v>
      </c>
      <c r="R119" s="22"/>
      <c r="S119" s="33">
        <v>584.375</v>
      </c>
      <c r="T119" s="33">
        <v>6125.523154</v>
      </c>
      <c r="U119" s="33">
        <f t="shared" si="14"/>
        <v>587.6</v>
      </c>
      <c r="V119" s="34">
        <f t="shared" si="15"/>
        <v>0.912469950793338</v>
      </c>
    </row>
    <row r="120" ht="73" customHeight="1" spans="1:22">
      <c r="A120" s="22">
        <v>62</v>
      </c>
      <c r="B120" s="22" t="s">
        <v>237</v>
      </c>
      <c r="C120" s="22" t="s">
        <v>238</v>
      </c>
      <c r="D120" s="22" t="s">
        <v>239</v>
      </c>
      <c r="E120" s="22">
        <f>F120+N120+O120+P120+Q120</f>
        <v>3513.523154</v>
      </c>
      <c r="F120" s="22">
        <f>G120+I120+J120+K120+L120+M120+H120</f>
        <v>3513.523154</v>
      </c>
      <c r="G120" s="22">
        <f>2122+326.8951+102.528915+1.743563</f>
        <v>2553.167578</v>
      </c>
      <c r="H120" s="22">
        <f>464.2+480+111.341436-214.1+118.91414</f>
        <v>960.355576</v>
      </c>
      <c r="I120" s="22"/>
      <c r="J120" s="22"/>
      <c r="K120" s="22"/>
      <c r="L120" s="22"/>
      <c r="M120" s="22"/>
      <c r="N120" s="22"/>
      <c r="O120" s="22"/>
      <c r="P120" s="22"/>
      <c r="Q120" s="22"/>
      <c r="R120" s="22" t="s">
        <v>240</v>
      </c>
      <c r="S120" s="33">
        <v>315.175</v>
      </c>
      <c r="T120" s="33">
        <v>3196.423154</v>
      </c>
      <c r="U120" s="33">
        <f t="shared" si="14"/>
        <v>317.1</v>
      </c>
      <c r="V120" s="34">
        <f t="shared" si="15"/>
        <v>0.90974870917273</v>
      </c>
    </row>
    <row r="121" ht="73" customHeight="1" spans="1:22">
      <c r="A121" s="22"/>
      <c r="B121" s="22"/>
      <c r="C121" s="22" t="s">
        <v>238</v>
      </c>
      <c r="D121" s="22"/>
      <c r="E121" s="22">
        <v>222.6</v>
      </c>
      <c r="F121" s="22"/>
      <c r="G121" s="22">
        <f t="shared" ref="G121:G133" si="17">E121-H121</f>
        <v>222.6</v>
      </c>
      <c r="H121" s="22"/>
      <c r="I121" s="22"/>
      <c r="J121" s="22"/>
      <c r="K121" s="22"/>
      <c r="L121" s="22"/>
      <c r="M121" s="22"/>
      <c r="N121" s="22"/>
      <c r="O121" s="22"/>
      <c r="P121" s="22"/>
      <c r="Q121" s="22"/>
      <c r="R121" s="22" t="s">
        <v>31</v>
      </c>
      <c r="S121" s="33">
        <v>18.55</v>
      </c>
      <c r="T121" s="33">
        <v>204.05</v>
      </c>
      <c r="U121" s="33">
        <f t="shared" si="14"/>
        <v>18.55</v>
      </c>
      <c r="V121" s="34">
        <f t="shared" si="15"/>
        <v>0.916666666666667</v>
      </c>
    </row>
    <row r="122" ht="73" customHeight="1" spans="1:22">
      <c r="A122" s="22"/>
      <c r="B122" s="22"/>
      <c r="C122" s="22" t="s">
        <v>238</v>
      </c>
      <c r="D122" s="22"/>
      <c r="E122" s="22">
        <f>272.95+0.119485+14.03424</f>
        <v>287.103725</v>
      </c>
      <c r="F122" s="22"/>
      <c r="G122" s="22">
        <f t="shared" si="17"/>
        <v>0</v>
      </c>
      <c r="H122" s="22">
        <v>287.103725</v>
      </c>
      <c r="I122" s="22"/>
      <c r="J122" s="22"/>
      <c r="K122" s="22"/>
      <c r="L122" s="22"/>
      <c r="M122" s="22"/>
      <c r="N122" s="22"/>
      <c r="O122" s="22"/>
      <c r="P122" s="22"/>
      <c r="Q122" s="22"/>
      <c r="R122" s="22" t="s">
        <v>32</v>
      </c>
      <c r="S122" s="33">
        <v>26.95</v>
      </c>
      <c r="T122" s="33">
        <v>260.153725</v>
      </c>
      <c r="U122" s="33">
        <f t="shared" si="14"/>
        <v>26.95</v>
      </c>
      <c r="V122" s="34">
        <f t="shared" si="15"/>
        <v>0.90613148610315</v>
      </c>
    </row>
    <row r="123" ht="73" customHeight="1" spans="1:22">
      <c r="A123" s="22"/>
      <c r="B123" s="22"/>
      <c r="C123" s="22" t="s">
        <v>238</v>
      </c>
      <c r="D123" s="22"/>
      <c r="E123" s="22">
        <f>298.978915+20.240514</f>
        <v>319.219429</v>
      </c>
      <c r="F123" s="22"/>
      <c r="G123" s="22">
        <f t="shared" si="17"/>
        <v>285.472478</v>
      </c>
      <c r="H123" s="22">
        <v>33.746951</v>
      </c>
      <c r="I123" s="22"/>
      <c r="J123" s="22"/>
      <c r="K123" s="22"/>
      <c r="L123" s="22"/>
      <c r="M123" s="22"/>
      <c r="N123" s="22"/>
      <c r="O123" s="22"/>
      <c r="P123" s="22"/>
      <c r="Q123" s="22"/>
      <c r="R123" s="22" t="s">
        <v>33</v>
      </c>
      <c r="S123" s="33">
        <v>29.75</v>
      </c>
      <c r="T123" s="33">
        <v>289.469429</v>
      </c>
      <c r="U123" s="33">
        <f t="shared" si="14"/>
        <v>29.75</v>
      </c>
      <c r="V123" s="34">
        <f t="shared" si="15"/>
        <v>0.906803918253986</v>
      </c>
    </row>
    <row r="124" ht="73" customHeight="1" spans="1:22">
      <c r="A124" s="22"/>
      <c r="B124" s="22"/>
      <c r="C124" s="22" t="s">
        <v>238</v>
      </c>
      <c r="D124" s="22"/>
      <c r="E124" s="22">
        <f>362.075+32.725</f>
        <v>394.8</v>
      </c>
      <c r="F124" s="22"/>
      <c r="G124" s="22">
        <f t="shared" si="17"/>
        <v>250.3</v>
      </c>
      <c r="H124" s="22">
        <v>144.5</v>
      </c>
      <c r="I124" s="22"/>
      <c r="J124" s="22"/>
      <c r="K124" s="22"/>
      <c r="L124" s="22"/>
      <c r="M124" s="22"/>
      <c r="N124" s="22"/>
      <c r="O124" s="22"/>
      <c r="P124" s="22"/>
      <c r="Q124" s="22"/>
      <c r="R124" s="22" t="s">
        <v>34</v>
      </c>
      <c r="S124" s="33">
        <v>32.9</v>
      </c>
      <c r="T124" s="33">
        <v>361.375</v>
      </c>
      <c r="U124" s="33">
        <f t="shared" si="14"/>
        <v>33.425</v>
      </c>
      <c r="V124" s="34">
        <f t="shared" si="15"/>
        <v>0.915336879432624</v>
      </c>
    </row>
    <row r="125" ht="73" customHeight="1" spans="1:22">
      <c r="A125" s="22"/>
      <c r="B125" s="22"/>
      <c r="C125" s="22" t="s">
        <v>238</v>
      </c>
      <c r="D125" s="22"/>
      <c r="E125" s="22">
        <v>252</v>
      </c>
      <c r="F125" s="22"/>
      <c r="G125" s="22">
        <f t="shared" si="17"/>
        <v>252</v>
      </c>
      <c r="H125" s="22"/>
      <c r="I125" s="22"/>
      <c r="J125" s="22"/>
      <c r="K125" s="22"/>
      <c r="L125" s="22"/>
      <c r="M125" s="22"/>
      <c r="N125" s="22"/>
      <c r="O125" s="22"/>
      <c r="P125" s="22"/>
      <c r="Q125" s="22"/>
      <c r="R125" s="22" t="s">
        <v>35</v>
      </c>
      <c r="S125" s="33">
        <v>21</v>
      </c>
      <c r="T125" s="33">
        <v>231</v>
      </c>
      <c r="U125" s="33">
        <f t="shared" si="14"/>
        <v>21</v>
      </c>
      <c r="V125" s="34">
        <f t="shared" si="15"/>
        <v>0.916666666666667</v>
      </c>
    </row>
    <row r="126" ht="73" customHeight="1" spans="1:22">
      <c r="A126" s="22"/>
      <c r="B126" s="22"/>
      <c r="C126" s="22" t="s">
        <v>238</v>
      </c>
      <c r="D126" s="22"/>
      <c r="E126" s="22">
        <v>277.2</v>
      </c>
      <c r="F126" s="22"/>
      <c r="G126" s="22">
        <f t="shared" si="17"/>
        <v>201.2</v>
      </c>
      <c r="H126" s="22">
        <v>76</v>
      </c>
      <c r="I126" s="22"/>
      <c r="J126" s="22"/>
      <c r="K126" s="22"/>
      <c r="L126" s="22"/>
      <c r="M126" s="22"/>
      <c r="N126" s="22"/>
      <c r="O126" s="22"/>
      <c r="P126" s="22"/>
      <c r="Q126" s="22"/>
      <c r="R126" s="22" t="s">
        <v>36</v>
      </c>
      <c r="S126" s="33">
        <v>25.2</v>
      </c>
      <c r="T126" s="33">
        <v>252</v>
      </c>
      <c r="U126" s="33">
        <f t="shared" si="14"/>
        <v>25.2</v>
      </c>
      <c r="V126" s="34">
        <f t="shared" si="15"/>
        <v>0.909090909090909</v>
      </c>
    </row>
    <row r="127" ht="73" customHeight="1" spans="1:22">
      <c r="A127" s="22"/>
      <c r="B127" s="22"/>
      <c r="C127" s="22" t="s">
        <v>238</v>
      </c>
      <c r="D127" s="22"/>
      <c r="E127" s="22">
        <f>330.75+33.075</f>
        <v>363.825</v>
      </c>
      <c r="F127" s="22"/>
      <c r="G127" s="22">
        <f t="shared" si="17"/>
        <v>264.6</v>
      </c>
      <c r="H127" s="22">
        <v>99.225</v>
      </c>
      <c r="I127" s="22"/>
      <c r="J127" s="22"/>
      <c r="K127" s="22"/>
      <c r="L127" s="22"/>
      <c r="M127" s="22"/>
      <c r="N127" s="22"/>
      <c r="O127" s="22"/>
      <c r="P127" s="22"/>
      <c r="Q127" s="22"/>
      <c r="R127" s="22" t="s">
        <v>37</v>
      </c>
      <c r="S127" s="33">
        <v>33.075</v>
      </c>
      <c r="T127" s="33">
        <v>330.225</v>
      </c>
      <c r="U127" s="33">
        <f t="shared" si="14"/>
        <v>33.6</v>
      </c>
      <c r="V127" s="34">
        <f t="shared" si="15"/>
        <v>0.907647907647908</v>
      </c>
    </row>
    <row r="128" ht="73" customHeight="1" spans="1:22">
      <c r="A128" s="22"/>
      <c r="B128" s="22"/>
      <c r="C128" s="22" t="s">
        <v>238</v>
      </c>
      <c r="D128" s="22"/>
      <c r="E128" s="22">
        <v>330.75</v>
      </c>
      <c r="F128" s="22"/>
      <c r="G128" s="22">
        <f t="shared" si="17"/>
        <v>282.3951</v>
      </c>
      <c r="H128" s="22">
        <v>48.3549</v>
      </c>
      <c r="I128" s="22"/>
      <c r="J128" s="22"/>
      <c r="K128" s="22"/>
      <c r="L128" s="22"/>
      <c r="M128" s="22"/>
      <c r="N128" s="22"/>
      <c r="O128" s="22"/>
      <c r="P128" s="22"/>
      <c r="Q128" s="22"/>
      <c r="R128" s="22" t="s">
        <v>38</v>
      </c>
      <c r="S128" s="33">
        <v>33.075</v>
      </c>
      <c r="T128" s="33">
        <v>297.675</v>
      </c>
      <c r="U128" s="33">
        <f t="shared" si="14"/>
        <v>33.075</v>
      </c>
      <c r="V128" s="34">
        <f t="shared" si="15"/>
        <v>0.9</v>
      </c>
    </row>
    <row r="129" ht="73" customHeight="1" spans="1:22">
      <c r="A129" s="22"/>
      <c r="B129" s="22"/>
      <c r="C129" s="22" t="s">
        <v>238</v>
      </c>
      <c r="D129" s="22"/>
      <c r="E129" s="22">
        <f>260.842051+10.582949</f>
        <v>271.425</v>
      </c>
      <c r="F129" s="22"/>
      <c r="G129" s="22">
        <f t="shared" si="17"/>
        <v>0</v>
      </c>
      <c r="H129" s="22">
        <v>271.425</v>
      </c>
      <c r="I129" s="22"/>
      <c r="J129" s="22"/>
      <c r="K129" s="22"/>
      <c r="L129" s="22"/>
      <c r="M129" s="22"/>
      <c r="N129" s="22"/>
      <c r="O129" s="22"/>
      <c r="P129" s="22"/>
      <c r="Q129" s="22"/>
      <c r="R129" s="22" t="s">
        <v>39</v>
      </c>
      <c r="S129" s="33">
        <v>24.675</v>
      </c>
      <c r="T129" s="33">
        <v>246.75</v>
      </c>
      <c r="U129" s="33">
        <f t="shared" si="14"/>
        <v>24.675</v>
      </c>
      <c r="V129" s="34">
        <f t="shared" si="15"/>
        <v>0.909090909090909</v>
      </c>
    </row>
    <row r="130" ht="73" customHeight="1" spans="1:22">
      <c r="A130" s="22"/>
      <c r="B130" s="22"/>
      <c r="C130" s="22" t="s">
        <v>238</v>
      </c>
      <c r="D130" s="22"/>
      <c r="E130" s="22">
        <v>163.8</v>
      </c>
      <c r="F130" s="22"/>
      <c r="G130" s="22">
        <f t="shared" si="17"/>
        <v>163.8</v>
      </c>
      <c r="H130" s="22"/>
      <c r="I130" s="22"/>
      <c r="J130" s="22"/>
      <c r="K130" s="22"/>
      <c r="L130" s="22"/>
      <c r="M130" s="22"/>
      <c r="N130" s="22"/>
      <c r="O130" s="22"/>
      <c r="P130" s="22"/>
      <c r="Q130" s="22"/>
      <c r="R130" s="22" t="s">
        <v>40</v>
      </c>
      <c r="S130" s="33">
        <v>13.65</v>
      </c>
      <c r="T130" s="33">
        <v>149.275</v>
      </c>
      <c r="U130" s="33">
        <f t="shared" si="14"/>
        <v>14.525</v>
      </c>
      <c r="V130" s="34">
        <f t="shared" si="15"/>
        <v>0.911324786324786</v>
      </c>
    </row>
    <row r="131" ht="73" customHeight="1" spans="1:22">
      <c r="A131" s="22"/>
      <c r="B131" s="22"/>
      <c r="C131" s="22" t="s">
        <v>238</v>
      </c>
      <c r="D131" s="22"/>
      <c r="E131" s="22">
        <v>216.3</v>
      </c>
      <c r="F131" s="22"/>
      <c r="G131" s="22">
        <f t="shared" si="17"/>
        <v>216.3</v>
      </c>
      <c r="H131" s="22"/>
      <c r="I131" s="22"/>
      <c r="J131" s="22"/>
      <c r="K131" s="22"/>
      <c r="L131" s="22"/>
      <c r="M131" s="22"/>
      <c r="N131" s="22"/>
      <c r="O131" s="22"/>
      <c r="P131" s="22"/>
      <c r="Q131" s="22"/>
      <c r="R131" s="22" t="s">
        <v>41</v>
      </c>
      <c r="S131" s="33">
        <v>18.025</v>
      </c>
      <c r="T131" s="33">
        <v>198.275</v>
      </c>
      <c r="U131" s="33">
        <f t="shared" si="14"/>
        <v>18.025</v>
      </c>
      <c r="V131" s="34">
        <f t="shared" si="15"/>
        <v>0.916666666666667</v>
      </c>
    </row>
    <row r="132" ht="73" customHeight="1" spans="1:22">
      <c r="A132" s="22"/>
      <c r="B132" s="22"/>
      <c r="C132" s="22" t="s">
        <v>238</v>
      </c>
      <c r="D132" s="22"/>
      <c r="E132" s="22">
        <v>151.2</v>
      </c>
      <c r="F132" s="22"/>
      <c r="G132" s="22">
        <f t="shared" si="17"/>
        <v>151.2</v>
      </c>
      <c r="H132" s="22"/>
      <c r="I132" s="22"/>
      <c r="J132" s="22"/>
      <c r="K132" s="22"/>
      <c r="L132" s="22"/>
      <c r="M132" s="22"/>
      <c r="N132" s="22"/>
      <c r="O132" s="22"/>
      <c r="P132" s="22"/>
      <c r="Q132" s="22"/>
      <c r="R132" s="22" t="s">
        <v>42</v>
      </c>
      <c r="S132" s="33">
        <v>12.6</v>
      </c>
      <c r="T132" s="33">
        <v>138.425</v>
      </c>
      <c r="U132" s="33">
        <f t="shared" si="14"/>
        <v>12.775</v>
      </c>
      <c r="V132" s="34">
        <f t="shared" si="15"/>
        <v>0.915509259259259</v>
      </c>
    </row>
    <row r="133" ht="73" customHeight="1" spans="1:22">
      <c r="A133" s="22"/>
      <c r="B133" s="22"/>
      <c r="C133" s="22" t="s">
        <v>238</v>
      </c>
      <c r="D133" s="22"/>
      <c r="E133" s="22">
        <v>263.3</v>
      </c>
      <c r="F133" s="22"/>
      <c r="G133" s="22">
        <f t="shared" si="17"/>
        <v>263.3</v>
      </c>
      <c r="H133" s="22"/>
      <c r="I133" s="22"/>
      <c r="J133" s="22"/>
      <c r="K133" s="22"/>
      <c r="L133" s="22"/>
      <c r="M133" s="22"/>
      <c r="N133" s="22"/>
      <c r="O133" s="22"/>
      <c r="P133" s="22"/>
      <c r="Q133" s="22"/>
      <c r="R133" s="22" t="s">
        <v>43</v>
      </c>
      <c r="S133" s="33">
        <v>25.725</v>
      </c>
      <c r="T133" s="33">
        <v>237.75</v>
      </c>
      <c r="U133" s="33">
        <f t="shared" si="14"/>
        <v>25.55</v>
      </c>
      <c r="V133" s="34">
        <f t="shared" si="15"/>
        <v>0.902962400303836</v>
      </c>
    </row>
    <row r="134" ht="73" customHeight="1" spans="1:22">
      <c r="A134" s="22">
        <v>63</v>
      </c>
      <c r="B134" s="22" t="s">
        <v>241</v>
      </c>
      <c r="C134" s="22" t="s">
        <v>242</v>
      </c>
      <c r="D134" s="22" t="s">
        <v>243</v>
      </c>
      <c r="E134" s="22">
        <f t="shared" ref="E134:E136" si="18">F134+N134+O134+P134+Q134</f>
        <v>1504.8</v>
      </c>
      <c r="F134" s="22">
        <f t="shared" ref="F134:F136" si="19">G134+I134+J134+K134+L134+M134+H134</f>
        <v>1504.8</v>
      </c>
      <c r="G134" s="22"/>
      <c r="H134" s="26">
        <v>1504.8</v>
      </c>
      <c r="I134" s="22"/>
      <c r="J134" s="22"/>
      <c r="K134" s="22"/>
      <c r="L134" s="22"/>
      <c r="M134" s="22"/>
      <c r="N134" s="22"/>
      <c r="O134" s="22"/>
      <c r="P134" s="22"/>
      <c r="Q134" s="22"/>
      <c r="R134" s="22" t="s">
        <v>244</v>
      </c>
      <c r="S134" s="33">
        <v>125.4</v>
      </c>
      <c r="T134" s="33">
        <v>1379.4</v>
      </c>
      <c r="U134" s="33">
        <f t="shared" si="14"/>
        <v>125.4</v>
      </c>
      <c r="V134" s="34">
        <f t="shared" si="15"/>
        <v>0.916666666666667</v>
      </c>
    </row>
    <row r="135" ht="73" customHeight="1" spans="1:22">
      <c r="A135" s="22">
        <v>64</v>
      </c>
      <c r="B135" s="22" t="s">
        <v>245</v>
      </c>
      <c r="C135" s="22" t="s">
        <v>246</v>
      </c>
      <c r="D135" s="22" t="s">
        <v>247</v>
      </c>
      <c r="E135" s="22">
        <f t="shared" si="18"/>
        <v>1558.6</v>
      </c>
      <c r="F135" s="22">
        <f t="shared" si="19"/>
        <v>1558.6</v>
      </c>
      <c r="G135" s="22">
        <f>500+79.204034+100+45.495966+17.8</f>
        <v>742.5</v>
      </c>
      <c r="H135" s="26">
        <f>500+214.1+61.2+4.4+36.4</f>
        <v>816.1</v>
      </c>
      <c r="I135" s="22"/>
      <c r="J135" s="22"/>
      <c r="K135" s="22"/>
      <c r="L135" s="22"/>
      <c r="M135" s="22"/>
      <c r="N135" s="22"/>
      <c r="O135" s="22"/>
      <c r="P135" s="22"/>
      <c r="Q135" s="22"/>
      <c r="R135" s="22" t="s">
        <v>248</v>
      </c>
      <c r="S135" s="33">
        <v>130.6</v>
      </c>
      <c r="T135" s="33">
        <v>1413.5</v>
      </c>
      <c r="U135" s="33">
        <f t="shared" si="14"/>
        <v>145.1</v>
      </c>
      <c r="V135" s="34">
        <f t="shared" si="15"/>
        <v>0.906903631464134</v>
      </c>
    </row>
    <row r="136" s="4" customFormat="1" ht="73" customHeight="1" spans="1:22">
      <c r="A136" s="22">
        <v>65</v>
      </c>
      <c r="B136" s="22" t="s">
        <v>249</v>
      </c>
      <c r="C136" s="22" t="s">
        <v>250</v>
      </c>
      <c r="D136" s="22" t="s">
        <v>251</v>
      </c>
      <c r="E136" s="22">
        <f t="shared" si="18"/>
        <v>136.2</v>
      </c>
      <c r="F136" s="22">
        <f t="shared" si="19"/>
        <v>136.2</v>
      </c>
      <c r="G136" s="22">
        <f>315.6-170-9.4</f>
        <v>136.2</v>
      </c>
      <c r="H136" s="22"/>
      <c r="I136" s="22"/>
      <c r="J136" s="22"/>
      <c r="K136" s="22"/>
      <c r="L136" s="22"/>
      <c r="M136" s="22"/>
      <c r="N136" s="22"/>
      <c r="O136" s="22"/>
      <c r="P136" s="22"/>
      <c r="Q136" s="22"/>
      <c r="R136" s="22" t="s">
        <v>248</v>
      </c>
      <c r="S136" s="33">
        <v>13.2</v>
      </c>
      <c r="T136" s="33">
        <v>136.2</v>
      </c>
      <c r="U136" s="33">
        <f t="shared" si="14"/>
        <v>0</v>
      </c>
      <c r="V136" s="34">
        <f t="shared" si="15"/>
        <v>1</v>
      </c>
    </row>
    <row r="137" s="5" customFormat="1" ht="73" customHeight="1" spans="1:22">
      <c r="A137" s="22" t="s">
        <v>252</v>
      </c>
      <c r="B137" s="22"/>
      <c r="C137" s="22" t="s">
        <v>253</v>
      </c>
      <c r="D137" s="22"/>
      <c r="E137" s="22">
        <f>E138+E139+E140+E141+E142+E143+E144+E145+E146+E147+E148+E149+E150+E151+E152+E153+E155+E154+E156+E157+E158+E159+E160+E161+E162+E163+E164+E165+E166+E167+E168+E169+E170+E171+E172+E173+E174+E175</f>
        <v>19758.051544</v>
      </c>
      <c r="F137" s="22">
        <f>F138+F139+F140+F141+F142+F143+F144+F145+F146+F147+F148+F149+F150+F151+F152+F153+F154+F155+F156+F157+F158+F159+F160+F161+F162+F163+F164+F165+F166+F167+F168+F169+F170+F171+F172+F173+F174+F175</f>
        <v>19691.051544</v>
      </c>
      <c r="G137" s="22">
        <f>G138+G139+G172+G173+G174+G140+G141+G142+G143+G144+G145+G146+G147+G148+G149+G150+G151+G152+G153+G154+G155+G156+G157+G158+G159+G160</f>
        <v>5683.86943</v>
      </c>
      <c r="H137" s="22">
        <f>H138+H139+H140+H141+H142+H143+H144+H145+H146+H147+H148+H149+H150+H151+H152+H153+H154+H155+H156+H157+H158+H159+H160+H161+H162+H163+H164+H165+H166+H167+H168+H169+H170+H171+H172+H173+H174</f>
        <v>11829.182114</v>
      </c>
      <c r="I137" s="22">
        <f>SUM(I138:I175)</f>
        <v>2178</v>
      </c>
      <c r="J137" s="22">
        <f t="shared" ref="J137:Q137" si="20">SUM(J138:J160)</f>
        <v>0</v>
      </c>
      <c r="K137" s="22">
        <f t="shared" si="20"/>
        <v>0</v>
      </c>
      <c r="L137" s="22">
        <f t="shared" si="20"/>
        <v>0</v>
      </c>
      <c r="M137" s="22">
        <f t="shared" si="20"/>
        <v>0</v>
      </c>
      <c r="N137" s="22">
        <f t="shared" si="20"/>
        <v>0</v>
      </c>
      <c r="O137" s="22">
        <f t="shared" si="20"/>
        <v>0</v>
      </c>
      <c r="P137" s="22">
        <f t="shared" si="20"/>
        <v>67</v>
      </c>
      <c r="Q137" s="22">
        <f t="shared" si="20"/>
        <v>0</v>
      </c>
      <c r="R137" s="22"/>
      <c r="S137" s="33">
        <v>1919.703344</v>
      </c>
      <c r="T137" s="33">
        <v>18676.669025</v>
      </c>
      <c r="U137" s="33">
        <f t="shared" si="14"/>
        <v>1081.38251899999</v>
      </c>
      <c r="V137" s="34">
        <f t="shared" si="15"/>
        <v>0.945268767186288</v>
      </c>
    </row>
    <row r="138" ht="73" customHeight="1" spans="1:22">
      <c r="A138" s="22">
        <v>66</v>
      </c>
      <c r="B138" s="22" t="s">
        <v>254</v>
      </c>
      <c r="C138" s="22" t="s">
        <v>255</v>
      </c>
      <c r="D138" s="22" t="s">
        <v>256</v>
      </c>
      <c r="E138" s="22">
        <f t="shared" ref="E138:E172" si="21">F138+N138+O138+P138+Q138</f>
        <v>2306.559551</v>
      </c>
      <c r="F138" s="22">
        <f t="shared" ref="F138:F175" si="22">G138+I138+J138+K138+L138+M138+H138</f>
        <v>2306.559551</v>
      </c>
      <c r="G138" s="22">
        <f>2380-73.440449</f>
        <v>2306.559551</v>
      </c>
      <c r="H138" s="22"/>
      <c r="I138" s="22"/>
      <c r="J138" s="22"/>
      <c r="K138" s="22"/>
      <c r="L138" s="22"/>
      <c r="M138" s="22"/>
      <c r="N138" s="22"/>
      <c r="O138" s="22"/>
      <c r="P138" s="22"/>
      <c r="Q138" s="22"/>
      <c r="R138" s="22" t="s">
        <v>244</v>
      </c>
      <c r="S138" s="33"/>
      <c r="T138" s="33">
        <v>2306.559551</v>
      </c>
      <c r="U138" s="33">
        <f t="shared" si="14"/>
        <v>0</v>
      </c>
      <c r="V138" s="34">
        <f t="shared" si="15"/>
        <v>1</v>
      </c>
    </row>
    <row r="139" ht="73" customHeight="1" spans="1:22">
      <c r="A139" s="22">
        <v>67</v>
      </c>
      <c r="B139" s="22" t="s">
        <v>257</v>
      </c>
      <c r="C139" s="22" t="s">
        <v>258</v>
      </c>
      <c r="D139" s="22" t="s">
        <v>259</v>
      </c>
      <c r="E139" s="22">
        <f t="shared" si="21"/>
        <v>2419.925182</v>
      </c>
      <c r="F139" s="22">
        <f t="shared" si="22"/>
        <v>2352.925182</v>
      </c>
      <c r="G139" s="22">
        <f>2354.68732-1.762138</f>
        <v>2352.925182</v>
      </c>
      <c r="H139" s="22"/>
      <c r="I139" s="22"/>
      <c r="J139" s="22"/>
      <c r="K139" s="22"/>
      <c r="L139" s="22"/>
      <c r="M139" s="22"/>
      <c r="N139" s="22"/>
      <c r="O139" s="22"/>
      <c r="P139" s="22">
        <v>67</v>
      </c>
      <c r="Q139" s="22"/>
      <c r="R139" s="22" t="s">
        <v>244</v>
      </c>
      <c r="S139" s="33"/>
      <c r="T139" s="33">
        <v>2419.925182</v>
      </c>
      <c r="U139" s="33">
        <f t="shared" si="14"/>
        <v>0</v>
      </c>
      <c r="V139" s="34">
        <f t="shared" si="15"/>
        <v>1</v>
      </c>
    </row>
    <row r="140" ht="73" customHeight="1" spans="1:22">
      <c r="A140" s="22">
        <v>68</v>
      </c>
      <c r="B140" s="22" t="s">
        <v>260</v>
      </c>
      <c r="C140" s="22" t="s">
        <v>261</v>
      </c>
      <c r="D140" s="22" t="s">
        <v>262</v>
      </c>
      <c r="E140" s="22">
        <f t="shared" si="21"/>
        <v>359.151763</v>
      </c>
      <c r="F140" s="22">
        <f t="shared" si="22"/>
        <v>359.151763</v>
      </c>
      <c r="G140" s="22">
        <f>377-17.848237</f>
        <v>359.151763</v>
      </c>
      <c r="H140" s="22"/>
      <c r="I140" s="22"/>
      <c r="J140" s="22"/>
      <c r="K140" s="22"/>
      <c r="L140" s="22"/>
      <c r="M140" s="22"/>
      <c r="N140" s="22"/>
      <c r="O140" s="22"/>
      <c r="P140" s="22"/>
      <c r="Q140" s="22"/>
      <c r="R140" s="22" t="s">
        <v>244</v>
      </c>
      <c r="S140" s="33"/>
      <c r="T140" s="33">
        <v>359.151763</v>
      </c>
      <c r="U140" s="33">
        <f t="shared" si="14"/>
        <v>0</v>
      </c>
      <c r="V140" s="34">
        <f t="shared" si="15"/>
        <v>1</v>
      </c>
    </row>
    <row r="141" ht="73" customHeight="1" spans="1:22">
      <c r="A141" s="22">
        <v>69</v>
      </c>
      <c r="B141" s="22" t="s">
        <v>263</v>
      </c>
      <c r="C141" s="22" t="s">
        <v>264</v>
      </c>
      <c r="D141" s="22" t="s">
        <v>265</v>
      </c>
      <c r="E141" s="22">
        <f t="shared" si="21"/>
        <v>386.478075</v>
      </c>
      <c r="F141" s="22">
        <f t="shared" si="22"/>
        <v>386.478075</v>
      </c>
      <c r="G141" s="22"/>
      <c r="H141" s="26">
        <f>399-12.521925</f>
        <v>386.478075</v>
      </c>
      <c r="I141" s="22"/>
      <c r="J141" s="22"/>
      <c r="K141" s="22"/>
      <c r="L141" s="22"/>
      <c r="M141" s="22"/>
      <c r="N141" s="22"/>
      <c r="O141" s="22"/>
      <c r="P141" s="22"/>
      <c r="Q141" s="22"/>
      <c r="R141" s="22" t="s">
        <v>43</v>
      </c>
      <c r="S141" s="33">
        <v>17.93</v>
      </c>
      <c r="T141" s="33">
        <v>365.7472</v>
      </c>
      <c r="U141" s="33">
        <f t="shared" si="14"/>
        <v>20.730875</v>
      </c>
      <c r="V141" s="34">
        <f t="shared" si="15"/>
        <v>0.946359505645954</v>
      </c>
    </row>
    <row r="142" ht="73" customHeight="1" spans="1:22">
      <c r="A142" s="22">
        <v>70</v>
      </c>
      <c r="B142" s="22" t="s">
        <v>266</v>
      </c>
      <c r="C142" s="22" t="s">
        <v>267</v>
      </c>
      <c r="D142" s="22" t="s">
        <v>268</v>
      </c>
      <c r="E142" s="22">
        <f t="shared" si="21"/>
        <v>351.936487</v>
      </c>
      <c r="F142" s="22">
        <f t="shared" si="22"/>
        <v>351.936487</v>
      </c>
      <c r="G142" s="22"/>
      <c r="H142" s="22"/>
      <c r="I142" s="22">
        <f>379-27.063513</f>
        <v>351.936487</v>
      </c>
      <c r="J142" s="22"/>
      <c r="K142" s="22"/>
      <c r="L142" s="22"/>
      <c r="M142" s="22"/>
      <c r="N142" s="22"/>
      <c r="O142" s="22"/>
      <c r="P142" s="22"/>
      <c r="Q142" s="22"/>
      <c r="R142" s="22" t="s">
        <v>39</v>
      </c>
      <c r="S142" s="33"/>
      <c r="T142" s="33">
        <v>349.688832</v>
      </c>
      <c r="U142" s="33">
        <f t="shared" si="14"/>
        <v>2.24765500000007</v>
      </c>
      <c r="V142" s="34">
        <f t="shared" si="15"/>
        <v>0.993613464124849</v>
      </c>
    </row>
    <row r="143" ht="73" customHeight="1" spans="1:22">
      <c r="A143" s="22">
        <v>71</v>
      </c>
      <c r="B143" s="22" t="s">
        <v>269</v>
      </c>
      <c r="C143" s="22" t="s">
        <v>270</v>
      </c>
      <c r="D143" s="22" t="s">
        <v>271</v>
      </c>
      <c r="E143" s="22">
        <f t="shared" si="21"/>
        <v>347.29</v>
      </c>
      <c r="F143" s="22">
        <f t="shared" si="22"/>
        <v>347.29</v>
      </c>
      <c r="G143" s="22"/>
      <c r="H143" s="22"/>
      <c r="I143" s="22">
        <f>385-37.71</f>
        <v>347.29</v>
      </c>
      <c r="J143" s="22"/>
      <c r="K143" s="22"/>
      <c r="L143" s="22"/>
      <c r="M143" s="22"/>
      <c r="N143" s="22"/>
      <c r="O143" s="22"/>
      <c r="P143" s="22"/>
      <c r="Q143" s="22"/>
      <c r="R143" s="22" t="s">
        <v>40</v>
      </c>
      <c r="S143" s="33"/>
      <c r="T143" s="33">
        <v>335.0498</v>
      </c>
      <c r="U143" s="33">
        <f t="shared" si="14"/>
        <v>12.2402</v>
      </c>
      <c r="V143" s="34">
        <f t="shared" si="15"/>
        <v>0.964755103803737</v>
      </c>
    </row>
    <row r="144" ht="73" customHeight="1" spans="1:22">
      <c r="A144" s="22">
        <v>72</v>
      </c>
      <c r="B144" s="22" t="s">
        <v>272</v>
      </c>
      <c r="C144" s="22" t="s">
        <v>273</v>
      </c>
      <c r="D144" s="22" t="s">
        <v>274</v>
      </c>
      <c r="E144" s="22">
        <f t="shared" si="21"/>
        <v>365.679139</v>
      </c>
      <c r="F144" s="22">
        <f t="shared" si="22"/>
        <v>365.679139</v>
      </c>
      <c r="G144" s="22"/>
      <c r="H144" s="22"/>
      <c r="I144" s="22">
        <f>370-4.320861</f>
        <v>365.679139</v>
      </c>
      <c r="J144" s="22"/>
      <c r="K144" s="22"/>
      <c r="L144" s="22"/>
      <c r="M144" s="22"/>
      <c r="N144" s="22"/>
      <c r="O144" s="22"/>
      <c r="P144" s="22"/>
      <c r="Q144" s="22"/>
      <c r="R144" s="22" t="s">
        <v>35</v>
      </c>
      <c r="S144" s="33"/>
      <c r="T144" s="33">
        <v>362.992132</v>
      </c>
      <c r="U144" s="33">
        <f t="shared" si="14"/>
        <v>2.68700700000005</v>
      </c>
      <c r="V144" s="34">
        <f t="shared" si="15"/>
        <v>0.992652009060872</v>
      </c>
    </row>
    <row r="145" ht="73" customHeight="1" spans="1:22">
      <c r="A145" s="22">
        <v>73</v>
      </c>
      <c r="B145" s="22" t="s">
        <v>275</v>
      </c>
      <c r="C145" s="22" t="s">
        <v>276</v>
      </c>
      <c r="D145" s="22" t="s">
        <v>277</v>
      </c>
      <c r="E145" s="22">
        <f t="shared" si="21"/>
        <v>348.299853</v>
      </c>
      <c r="F145" s="22">
        <f t="shared" si="22"/>
        <v>348.299853</v>
      </c>
      <c r="G145" s="22"/>
      <c r="H145" s="22"/>
      <c r="I145" s="22">
        <f>376-27.700147</f>
        <v>348.299853</v>
      </c>
      <c r="J145" s="22"/>
      <c r="K145" s="22"/>
      <c r="L145" s="22"/>
      <c r="M145" s="22"/>
      <c r="N145" s="22"/>
      <c r="O145" s="22"/>
      <c r="P145" s="22"/>
      <c r="Q145" s="22"/>
      <c r="R145" s="22" t="s">
        <v>34</v>
      </c>
      <c r="S145" s="33">
        <v>9.717224</v>
      </c>
      <c r="T145" s="33">
        <v>315.839656</v>
      </c>
      <c r="U145" s="33">
        <f t="shared" si="14"/>
        <v>32.460197</v>
      </c>
      <c r="V145" s="34">
        <f t="shared" si="15"/>
        <v>0.906803873959717</v>
      </c>
    </row>
    <row r="146" ht="73" customHeight="1" spans="1:22">
      <c r="A146" s="22">
        <v>74</v>
      </c>
      <c r="B146" s="22" t="s">
        <v>278</v>
      </c>
      <c r="C146" s="22" t="s">
        <v>279</v>
      </c>
      <c r="D146" s="22" t="s">
        <v>280</v>
      </c>
      <c r="E146" s="22">
        <f t="shared" si="21"/>
        <v>327.210246</v>
      </c>
      <c r="F146" s="22">
        <f t="shared" si="22"/>
        <v>327.210246</v>
      </c>
      <c r="G146" s="22"/>
      <c r="H146" s="22"/>
      <c r="I146" s="22">
        <f>350-22.789754</f>
        <v>327.210246</v>
      </c>
      <c r="J146" s="22"/>
      <c r="K146" s="22"/>
      <c r="L146" s="22"/>
      <c r="M146" s="22"/>
      <c r="N146" s="22"/>
      <c r="O146" s="22"/>
      <c r="P146" s="22"/>
      <c r="Q146" s="22"/>
      <c r="R146" s="22" t="s">
        <v>32</v>
      </c>
      <c r="S146" s="33">
        <v>28.257415</v>
      </c>
      <c r="T146" s="33">
        <v>320.843399</v>
      </c>
      <c r="U146" s="33">
        <f t="shared" si="14"/>
        <v>6.36684700000001</v>
      </c>
      <c r="V146" s="34">
        <f t="shared" si="15"/>
        <v>0.980542030459523</v>
      </c>
    </row>
    <row r="147" ht="73" customHeight="1" spans="1:22">
      <c r="A147" s="22">
        <v>75</v>
      </c>
      <c r="B147" s="22" t="s">
        <v>281</v>
      </c>
      <c r="C147" s="22" t="s">
        <v>282</v>
      </c>
      <c r="D147" s="22" t="s">
        <v>283</v>
      </c>
      <c r="E147" s="22">
        <f t="shared" si="21"/>
        <v>364.442401</v>
      </c>
      <c r="F147" s="22">
        <f t="shared" si="22"/>
        <v>364.442401</v>
      </c>
      <c r="G147" s="40"/>
      <c r="H147" s="26">
        <f>387-18.92-3.637599</f>
        <v>364.442401</v>
      </c>
      <c r="I147" s="22"/>
      <c r="J147" s="22"/>
      <c r="K147" s="22"/>
      <c r="L147" s="22"/>
      <c r="M147" s="22"/>
      <c r="N147" s="22"/>
      <c r="O147" s="22"/>
      <c r="P147" s="22"/>
      <c r="Q147" s="22"/>
      <c r="R147" s="22" t="s">
        <v>31</v>
      </c>
      <c r="S147" s="33"/>
      <c r="T147" s="33">
        <v>363.231278</v>
      </c>
      <c r="U147" s="33">
        <f t="shared" ref="U147:U178" si="23">E147-T147</f>
        <v>1.21112299999993</v>
      </c>
      <c r="V147" s="34">
        <f t="shared" si="15"/>
        <v>0.996676778012995</v>
      </c>
    </row>
    <row r="148" ht="73" customHeight="1" spans="1:22">
      <c r="A148" s="22">
        <v>76</v>
      </c>
      <c r="B148" s="22" t="s">
        <v>284</v>
      </c>
      <c r="C148" s="22" t="s">
        <v>285</v>
      </c>
      <c r="D148" s="22" t="s">
        <v>286</v>
      </c>
      <c r="E148" s="22">
        <f t="shared" si="21"/>
        <v>362.213161</v>
      </c>
      <c r="F148" s="22">
        <f t="shared" si="22"/>
        <v>362.213161</v>
      </c>
      <c r="G148" s="40"/>
      <c r="H148" s="26">
        <f>387-23.296414-1.490425</f>
        <v>362.213161</v>
      </c>
      <c r="I148" s="22"/>
      <c r="J148" s="22"/>
      <c r="K148" s="22"/>
      <c r="L148" s="22"/>
      <c r="M148" s="22"/>
      <c r="N148" s="22"/>
      <c r="O148" s="22"/>
      <c r="P148" s="22"/>
      <c r="Q148" s="22"/>
      <c r="R148" s="22" t="s">
        <v>35</v>
      </c>
      <c r="S148" s="33">
        <v>36.643904</v>
      </c>
      <c r="T148" s="33">
        <v>361.439161</v>
      </c>
      <c r="U148" s="33">
        <f t="shared" si="23"/>
        <v>0.773999999999944</v>
      </c>
      <c r="V148" s="34">
        <f t="shared" si="15"/>
        <v>0.997863136729038</v>
      </c>
    </row>
    <row r="149" ht="73" customHeight="1" spans="1:22">
      <c r="A149" s="22">
        <v>77</v>
      </c>
      <c r="B149" s="22" t="s">
        <v>287</v>
      </c>
      <c r="C149" s="22" t="s">
        <v>288</v>
      </c>
      <c r="D149" s="22" t="s">
        <v>289</v>
      </c>
      <c r="E149" s="22">
        <f t="shared" si="21"/>
        <v>296.434106</v>
      </c>
      <c r="F149" s="22">
        <f t="shared" si="22"/>
        <v>296.434106</v>
      </c>
      <c r="G149" s="22"/>
      <c r="H149" s="26">
        <f>315-18.565894</f>
        <v>296.434106</v>
      </c>
      <c r="I149" s="22"/>
      <c r="J149" s="22"/>
      <c r="K149" s="22"/>
      <c r="L149" s="22"/>
      <c r="M149" s="22"/>
      <c r="N149" s="22"/>
      <c r="O149" s="22"/>
      <c r="P149" s="22"/>
      <c r="Q149" s="22"/>
      <c r="R149" s="22" t="s">
        <v>36</v>
      </c>
      <c r="S149" s="33">
        <v>11.330212</v>
      </c>
      <c r="T149" s="33">
        <v>292.593337</v>
      </c>
      <c r="U149" s="33">
        <f t="shared" si="23"/>
        <v>3.84076899999997</v>
      </c>
      <c r="V149" s="34">
        <f t="shared" si="15"/>
        <v>0.987043430825736</v>
      </c>
    </row>
    <row r="150" ht="73" customHeight="1" spans="1:22">
      <c r="A150" s="22">
        <v>78</v>
      </c>
      <c r="B150" s="22" t="s">
        <v>290</v>
      </c>
      <c r="C150" s="22" t="s">
        <v>291</v>
      </c>
      <c r="D150" s="22" t="s">
        <v>292</v>
      </c>
      <c r="E150" s="22">
        <f t="shared" si="21"/>
        <v>373.000407</v>
      </c>
      <c r="F150" s="22">
        <f t="shared" si="22"/>
        <v>373.000407</v>
      </c>
      <c r="G150" s="41">
        <v>4.000407</v>
      </c>
      <c r="H150" s="26">
        <f>384-15</f>
        <v>369</v>
      </c>
      <c r="I150" s="22"/>
      <c r="J150" s="22"/>
      <c r="K150" s="22"/>
      <c r="L150" s="22"/>
      <c r="M150" s="22"/>
      <c r="N150" s="22"/>
      <c r="O150" s="22"/>
      <c r="P150" s="22"/>
      <c r="Q150" s="22"/>
      <c r="R150" s="22" t="s">
        <v>38</v>
      </c>
      <c r="S150" s="33"/>
      <c r="T150" s="33">
        <v>373.000407</v>
      </c>
      <c r="U150" s="33">
        <f t="shared" si="23"/>
        <v>0</v>
      </c>
      <c r="V150" s="34">
        <f t="shared" ref="V150:V196" si="24">T150/E150</f>
        <v>1</v>
      </c>
    </row>
    <row r="151" ht="73" customHeight="1" spans="1:22">
      <c r="A151" s="22">
        <v>79</v>
      </c>
      <c r="B151" s="22" t="s">
        <v>293</v>
      </c>
      <c r="C151" s="22" t="s">
        <v>294</v>
      </c>
      <c r="D151" s="22" t="s">
        <v>295</v>
      </c>
      <c r="E151" s="22">
        <f t="shared" si="21"/>
        <v>374.06</v>
      </c>
      <c r="F151" s="22">
        <f t="shared" si="22"/>
        <v>374.06</v>
      </c>
      <c r="G151" s="40"/>
      <c r="H151" s="26">
        <f>384-9.94</f>
        <v>374.06</v>
      </c>
      <c r="I151" s="22"/>
      <c r="J151" s="22"/>
      <c r="K151" s="22"/>
      <c r="L151" s="22"/>
      <c r="M151" s="22"/>
      <c r="N151" s="22"/>
      <c r="O151" s="22"/>
      <c r="P151" s="22"/>
      <c r="Q151" s="22"/>
      <c r="R151" s="22" t="s">
        <v>40</v>
      </c>
      <c r="S151" s="33"/>
      <c r="T151" s="33">
        <v>371.123006</v>
      </c>
      <c r="U151" s="33">
        <f t="shared" si="23"/>
        <v>2.93699400000003</v>
      </c>
      <c r="V151" s="34">
        <f t="shared" si="24"/>
        <v>0.992148334491793</v>
      </c>
    </row>
    <row r="152" ht="73" customHeight="1" spans="1:22">
      <c r="A152" s="22">
        <v>80</v>
      </c>
      <c r="B152" s="22" t="s">
        <v>296</v>
      </c>
      <c r="C152" s="22" t="s">
        <v>297</v>
      </c>
      <c r="D152" s="22" t="s">
        <v>298</v>
      </c>
      <c r="E152" s="22">
        <f t="shared" si="21"/>
        <v>363.345906</v>
      </c>
      <c r="F152" s="22">
        <f t="shared" si="22"/>
        <v>363.345906</v>
      </c>
      <c r="G152" s="40"/>
      <c r="H152" s="26">
        <f>387-19.075246-4.578848</f>
        <v>363.345906</v>
      </c>
      <c r="I152" s="22"/>
      <c r="J152" s="22"/>
      <c r="K152" s="22"/>
      <c r="L152" s="22"/>
      <c r="M152" s="22"/>
      <c r="N152" s="22"/>
      <c r="O152" s="22"/>
      <c r="P152" s="22"/>
      <c r="Q152" s="22"/>
      <c r="R152" s="22" t="s">
        <v>42</v>
      </c>
      <c r="S152" s="33"/>
      <c r="T152" s="33">
        <v>363.345906</v>
      </c>
      <c r="U152" s="33">
        <f t="shared" si="23"/>
        <v>0</v>
      </c>
      <c r="V152" s="34">
        <f t="shared" si="24"/>
        <v>1</v>
      </c>
    </row>
    <row r="153" ht="73" customHeight="1" spans="1:22">
      <c r="A153" s="22">
        <v>81</v>
      </c>
      <c r="B153" s="22" t="s">
        <v>299</v>
      </c>
      <c r="C153" s="22" t="s">
        <v>300</v>
      </c>
      <c r="D153" s="22" t="s">
        <v>301</v>
      </c>
      <c r="E153" s="22">
        <f t="shared" si="21"/>
        <v>313.21631</v>
      </c>
      <c r="F153" s="22">
        <f t="shared" si="22"/>
        <v>313.21631</v>
      </c>
      <c r="G153" s="40"/>
      <c r="H153" s="26">
        <f>342-21.228974-7.554716</f>
        <v>313.21631</v>
      </c>
      <c r="I153" s="22"/>
      <c r="J153" s="22"/>
      <c r="K153" s="22"/>
      <c r="L153" s="22"/>
      <c r="M153" s="22"/>
      <c r="N153" s="22"/>
      <c r="O153" s="22"/>
      <c r="P153" s="22"/>
      <c r="Q153" s="22"/>
      <c r="R153" s="22" t="s">
        <v>43</v>
      </c>
      <c r="S153" s="33">
        <v>18.07</v>
      </c>
      <c r="T153" s="33">
        <v>303.7517</v>
      </c>
      <c r="U153" s="33">
        <f t="shared" si="23"/>
        <v>9.46461000000005</v>
      </c>
      <c r="V153" s="34">
        <f t="shared" si="24"/>
        <v>0.969782512283603</v>
      </c>
    </row>
    <row r="154" ht="73" customHeight="1" spans="1:22">
      <c r="A154" s="22">
        <v>82</v>
      </c>
      <c r="B154" s="22" t="s">
        <v>302</v>
      </c>
      <c r="C154" s="22" t="s">
        <v>303</v>
      </c>
      <c r="D154" s="22" t="s">
        <v>304</v>
      </c>
      <c r="E154" s="22">
        <f t="shared" si="21"/>
        <v>252</v>
      </c>
      <c r="F154" s="22">
        <f t="shared" si="22"/>
        <v>252</v>
      </c>
      <c r="G154" s="40"/>
      <c r="H154" s="26">
        <v>252</v>
      </c>
      <c r="I154" s="22"/>
      <c r="J154" s="22"/>
      <c r="K154" s="22"/>
      <c r="L154" s="22"/>
      <c r="M154" s="22"/>
      <c r="N154" s="22"/>
      <c r="O154" s="22"/>
      <c r="P154" s="22"/>
      <c r="Q154" s="22"/>
      <c r="R154" s="22" t="s">
        <v>31</v>
      </c>
      <c r="S154" s="33"/>
      <c r="T154" s="33">
        <v>251.522</v>
      </c>
      <c r="U154" s="33">
        <f t="shared" si="23"/>
        <v>0.478000000000037</v>
      </c>
      <c r="V154" s="34">
        <f t="shared" si="24"/>
        <v>0.998103174603174</v>
      </c>
    </row>
    <row r="155" ht="73" customHeight="1" spans="1:22">
      <c r="A155" s="22">
        <v>83</v>
      </c>
      <c r="B155" s="22" t="s">
        <v>305</v>
      </c>
      <c r="C155" s="22" t="s">
        <v>306</v>
      </c>
      <c r="D155" s="22" t="s">
        <v>307</v>
      </c>
      <c r="E155" s="22">
        <f t="shared" si="21"/>
        <v>608.054468</v>
      </c>
      <c r="F155" s="22">
        <f t="shared" si="22"/>
        <v>608.054468</v>
      </c>
      <c r="G155" s="40"/>
      <c r="H155" s="26">
        <f>600+27.207017-3.300052-12.207017-3.64548</f>
        <v>608.054468</v>
      </c>
      <c r="I155" s="22"/>
      <c r="J155" s="22"/>
      <c r="K155" s="22"/>
      <c r="L155" s="22"/>
      <c r="M155" s="22"/>
      <c r="N155" s="22"/>
      <c r="O155" s="22"/>
      <c r="P155" s="22"/>
      <c r="Q155" s="22"/>
      <c r="R155" s="22" t="s">
        <v>32</v>
      </c>
      <c r="S155" s="33">
        <v>30.86472</v>
      </c>
      <c r="T155" s="33">
        <v>596.35452</v>
      </c>
      <c r="U155" s="33">
        <f t="shared" si="23"/>
        <v>11.6999479999998</v>
      </c>
      <c r="V155" s="34">
        <f t="shared" si="24"/>
        <v>0.980758388243601</v>
      </c>
    </row>
    <row r="156" ht="73" customHeight="1" spans="1:22">
      <c r="A156" s="22">
        <v>84</v>
      </c>
      <c r="B156" s="22" t="s">
        <v>308</v>
      </c>
      <c r="C156" s="22" t="s">
        <v>309</v>
      </c>
      <c r="D156" s="22" t="s">
        <v>310</v>
      </c>
      <c r="E156" s="22">
        <f t="shared" si="21"/>
        <v>718.816462</v>
      </c>
      <c r="F156" s="22">
        <f t="shared" si="22"/>
        <v>718.816462</v>
      </c>
      <c r="G156" s="40"/>
      <c r="H156" s="26">
        <f>750-31.183538</f>
        <v>718.816462</v>
      </c>
      <c r="I156" s="22"/>
      <c r="J156" s="22"/>
      <c r="K156" s="22"/>
      <c r="L156" s="22"/>
      <c r="M156" s="22"/>
      <c r="N156" s="22"/>
      <c r="O156" s="22"/>
      <c r="P156" s="22"/>
      <c r="Q156" s="22"/>
      <c r="R156" s="22" t="s">
        <v>32</v>
      </c>
      <c r="S156" s="33">
        <v>211.7274</v>
      </c>
      <c r="T156" s="33">
        <v>669.124409</v>
      </c>
      <c r="U156" s="33">
        <f t="shared" si="23"/>
        <v>49.692053</v>
      </c>
      <c r="V156" s="34">
        <f t="shared" si="24"/>
        <v>0.930869623016508</v>
      </c>
    </row>
    <row r="157" ht="73" customHeight="1" spans="1:22">
      <c r="A157" s="22">
        <v>85</v>
      </c>
      <c r="B157" s="22" t="s">
        <v>311</v>
      </c>
      <c r="C157" s="22" t="s">
        <v>312</v>
      </c>
      <c r="D157" s="22" t="s">
        <v>313</v>
      </c>
      <c r="E157" s="22">
        <f t="shared" si="21"/>
        <v>670.097186</v>
      </c>
      <c r="F157" s="22">
        <f t="shared" si="22"/>
        <v>670.097186</v>
      </c>
      <c r="G157" s="40"/>
      <c r="H157" s="26">
        <f>750-50-29.902814</f>
        <v>670.097186</v>
      </c>
      <c r="I157" s="22"/>
      <c r="J157" s="22"/>
      <c r="K157" s="22"/>
      <c r="L157" s="22"/>
      <c r="M157" s="22"/>
      <c r="N157" s="22"/>
      <c r="O157" s="22"/>
      <c r="P157" s="22"/>
      <c r="Q157" s="22"/>
      <c r="R157" s="22" t="s">
        <v>33</v>
      </c>
      <c r="S157" s="33">
        <v>153.15325</v>
      </c>
      <c r="T157" s="33">
        <v>625.015607</v>
      </c>
      <c r="U157" s="33">
        <f t="shared" si="23"/>
        <v>45.0815789999999</v>
      </c>
      <c r="V157" s="34">
        <f t="shared" si="24"/>
        <v>0.932723819854991</v>
      </c>
    </row>
    <row r="158" ht="73" customHeight="1" spans="1:22">
      <c r="A158" s="22">
        <v>86</v>
      </c>
      <c r="B158" s="22" t="s">
        <v>314</v>
      </c>
      <c r="C158" s="22" t="s">
        <v>315</v>
      </c>
      <c r="D158" s="22" t="s">
        <v>316</v>
      </c>
      <c r="E158" s="22">
        <f t="shared" si="21"/>
        <v>677.464911</v>
      </c>
      <c r="F158" s="22">
        <f t="shared" si="22"/>
        <v>677.464911</v>
      </c>
      <c r="G158" s="40"/>
      <c r="H158" s="26">
        <f>750-36.4-12-10.2-3.808-10.127089</f>
        <v>677.464911</v>
      </c>
      <c r="I158" s="22"/>
      <c r="J158" s="22"/>
      <c r="K158" s="22"/>
      <c r="L158" s="22"/>
      <c r="M158" s="22"/>
      <c r="N158" s="22"/>
      <c r="O158" s="22"/>
      <c r="P158" s="22"/>
      <c r="Q158" s="22"/>
      <c r="R158" s="22" t="s">
        <v>34</v>
      </c>
      <c r="S158" s="33">
        <v>110.19</v>
      </c>
      <c r="T158" s="33">
        <v>608.020343</v>
      </c>
      <c r="U158" s="33">
        <f t="shared" si="23"/>
        <v>69.444568</v>
      </c>
      <c r="V158" s="34">
        <f t="shared" si="24"/>
        <v>0.897493483614534</v>
      </c>
    </row>
    <row r="159" ht="73" customHeight="1" spans="1:22">
      <c r="A159" s="22">
        <v>87</v>
      </c>
      <c r="B159" s="22" t="s">
        <v>317</v>
      </c>
      <c r="C159" s="22" t="s">
        <v>318</v>
      </c>
      <c r="D159" s="22" t="s">
        <v>319</v>
      </c>
      <c r="E159" s="22">
        <f t="shared" si="21"/>
        <v>582.644924</v>
      </c>
      <c r="F159" s="22">
        <f t="shared" si="22"/>
        <v>582.644924</v>
      </c>
      <c r="G159" s="40"/>
      <c r="H159" s="26">
        <f>750-141.732-25.623076</f>
        <v>582.644924</v>
      </c>
      <c r="I159" s="22"/>
      <c r="J159" s="22"/>
      <c r="K159" s="22"/>
      <c r="L159" s="22"/>
      <c r="M159" s="22"/>
      <c r="N159" s="22"/>
      <c r="O159" s="22"/>
      <c r="P159" s="22"/>
      <c r="Q159" s="22"/>
      <c r="R159" s="22" t="s">
        <v>37</v>
      </c>
      <c r="S159" s="33"/>
      <c r="T159" s="33">
        <v>356.534274</v>
      </c>
      <c r="U159" s="33">
        <f t="shared" si="23"/>
        <v>226.11065</v>
      </c>
      <c r="V159" s="34">
        <f t="shared" si="24"/>
        <v>0.611923762335909</v>
      </c>
    </row>
    <row r="160" ht="73" customHeight="1" spans="1:22">
      <c r="A160" s="22">
        <v>88</v>
      </c>
      <c r="B160" s="22" t="s">
        <v>320</v>
      </c>
      <c r="C160" s="22" t="s">
        <v>321</v>
      </c>
      <c r="D160" s="22" t="s">
        <v>322</v>
      </c>
      <c r="E160" s="22">
        <f t="shared" si="21"/>
        <v>374.721906</v>
      </c>
      <c r="F160" s="22">
        <f t="shared" si="22"/>
        <v>374.721906</v>
      </c>
      <c r="G160" s="40"/>
      <c r="H160" s="26">
        <f>400-25.278094</f>
        <v>374.721906</v>
      </c>
      <c r="I160" s="22"/>
      <c r="J160" s="22"/>
      <c r="K160" s="22"/>
      <c r="L160" s="22"/>
      <c r="M160" s="22"/>
      <c r="N160" s="22"/>
      <c r="O160" s="22"/>
      <c r="P160" s="22"/>
      <c r="Q160" s="22"/>
      <c r="R160" s="22" t="s">
        <v>43</v>
      </c>
      <c r="S160" s="33">
        <v>151.046154</v>
      </c>
      <c r="T160" s="33">
        <v>366.774854</v>
      </c>
      <c r="U160" s="33">
        <f t="shared" si="23"/>
        <v>7.94705199999999</v>
      </c>
      <c r="V160" s="34">
        <f t="shared" si="24"/>
        <v>0.978792133919174</v>
      </c>
    </row>
    <row r="161" ht="73" customHeight="1" spans="1:22">
      <c r="A161" s="22">
        <v>89</v>
      </c>
      <c r="B161" s="22" t="s">
        <v>323</v>
      </c>
      <c r="C161" s="22" t="s">
        <v>324</v>
      </c>
      <c r="D161" s="22" t="s">
        <v>325</v>
      </c>
      <c r="E161" s="22">
        <f t="shared" si="21"/>
        <v>353.492746</v>
      </c>
      <c r="F161" s="22">
        <f t="shared" si="22"/>
        <v>353.492746</v>
      </c>
      <c r="G161" s="40"/>
      <c r="H161" s="26">
        <f>385-21.472814-9.944483-0.089957</f>
        <v>353.492746</v>
      </c>
      <c r="I161" s="22"/>
      <c r="J161" s="22"/>
      <c r="K161" s="22"/>
      <c r="L161" s="22"/>
      <c r="M161" s="22"/>
      <c r="N161" s="22"/>
      <c r="O161" s="22"/>
      <c r="P161" s="22"/>
      <c r="Q161" s="22"/>
      <c r="R161" s="22" t="s">
        <v>31</v>
      </c>
      <c r="S161" s="33"/>
      <c r="T161" s="33">
        <v>324.718822</v>
      </c>
      <c r="U161" s="33">
        <f t="shared" si="23"/>
        <v>28.773924</v>
      </c>
      <c r="V161" s="34">
        <f t="shared" si="24"/>
        <v>0.918601090614742</v>
      </c>
    </row>
    <row r="162" ht="73" customHeight="1" spans="1:22">
      <c r="A162" s="22">
        <v>90</v>
      </c>
      <c r="B162" s="22" t="s">
        <v>326</v>
      </c>
      <c r="C162" s="22" t="s">
        <v>327</v>
      </c>
      <c r="D162" s="22" t="s">
        <v>328</v>
      </c>
      <c r="E162" s="22">
        <f t="shared" si="21"/>
        <v>278.059345</v>
      </c>
      <c r="F162" s="22">
        <f t="shared" si="22"/>
        <v>278.059345</v>
      </c>
      <c r="G162" s="40"/>
      <c r="H162" s="26">
        <f>290.5-4.653347-3.338267-4.449041</f>
        <v>278.059345</v>
      </c>
      <c r="I162" s="22"/>
      <c r="J162" s="22"/>
      <c r="K162" s="22"/>
      <c r="L162" s="22"/>
      <c r="M162" s="22"/>
      <c r="N162" s="22"/>
      <c r="O162" s="22"/>
      <c r="P162" s="22"/>
      <c r="Q162" s="22"/>
      <c r="R162" s="22" t="s">
        <v>31</v>
      </c>
      <c r="S162" s="33"/>
      <c r="T162" s="33">
        <v>255.386892</v>
      </c>
      <c r="U162" s="33">
        <f t="shared" si="23"/>
        <v>22.672453</v>
      </c>
      <c r="V162" s="34">
        <f t="shared" si="24"/>
        <v>0.918461819724131</v>
      </c>
    </row>
    <row r="163" ht="73" customHeight="1" spans="1:22">
      <c r="A163" s="22">
        <v>91</v>
      </c>
      <c r="B163" s="22" t="s">
        <v>329</v>
      </c>
      <c r="C163" s="22" t="s">
        <v>330</v>
      </c>
      <c r="D163" s="22" t="s">
        <v>331</v>
      </c>
      <c r="E163" s="22">
        <f t="shared" si="21"/>
        <v>277.290988</v>
      </c>
      <c r="F163" s="22">
        <f t="shared" si="22"/>
        <v>277.290988</v>
      </c>
      <c r="G163" s="40"/>
      <c r="H163" s="26">
        <f>298-13.402905-1.842674-1.285026-4.178407</f>
        <v>277.290988</v>
      </c>
      <c r="I163" s="22"/>
      <c r="J163" s="22"/>
      <c r="K163" s="22"/>
      <c r="L163" s="22"/>
      <c r="M163" s="22"/>
      <c r="N163" s="22"/>
      <c r="O163" s="22"/>
      <c r="P163" s="22"/>
      <c r="Q163" s="22"/>
      <c r="R163" s="22" t="s">
        <v>31</v>
      </c>
      <c r="S163" s="33"/>
      <c r="T163" s="33">
        <v>249.391272</v>
      </c>
      <c r="U163" s="33">
        <f t="shared" si="23"/>
        <v>27.899716</v>
      </c>
      <c r="V163" s="34">
        <f t="shared" si="24"/>
        <v>0.899384699801351</v>
      </c>
    </row>
    <row r="164" ht="73" customHeight="1" spans="1:22">
      <c r="A164" s="22">
        <v>92</v>
      </c>
      <c r="B164" s="22" t="s">
        <v>332</v>
      </c>
      <c r="C164" s="22" t="s">
        <v>333</v>
      </c>
      <c r="D164" s="22" t="s">
        <v>334</v>
      </c>
      <c r="E164" s="22">
        <f t="shared" si="21"/>
        <v>106.137056</v>
      </c>
      <c r="F164" s="22">
        <f t="shared" si="22"/>
        <v>106.137056</v>
      </c>
      <c r="G164" s="40"/>
      <c r="H164" s="26">
        <f>120-12.094574-1.76837</f>
        <v>106.137056</v>
      </c>
      <c r="I164" s="22"/>
      <c r="J164" s="22"/>
      <c r="K164" s="22"/>
      <c r="L164" s="22"/>
      <c r="M164" s="22"/>
      <c r="N164" s="22"/>
      <c r="O164" s="22"/>
      <c r="P164" s="22"/>
      <c r="Q164" s="22"/>
      <c r="R164" s="22" t="s">
        <v>31</v>
      </c>
      <c r="S164" s="33"/>
      <c r="T164" s="33">
        <v>96.741762</v>
      </c>
      <c r="U164" s="33">
        <f t="shared" si="23"/>
        <v>9.39529400000001</v>
      </c>
      <c r="V164" s="34">
        <f t="shared" si="24"/>
        <v>0.911479606142458</v>
      </c>
    </row>
    <row r="165" ht="73" customHeight="1" spans="1:22">
      <c r="A165" s="22">
        <v>93</v>
      </c>
      <c r="B165" s="22" t="s">
        <v>335</v>
      </c>
      <c r="C165" s="22" t="s">
        <v>336</v>
      </c>
      <c r="D165" s="22" t="s">
        <v>337</v>
      </c>
      <c r="E165" s="22">
        <f t="shared" si="21"/>
        <v>1440</v>
      </c>
      <c r="F165" s="22">
        <f t="shared" si="22"/>
        <v>1440</v>
      </c>
      <c r="G165" s="40"/>
      <c r="H165" s="26">
        <v>1440</v>
      </c>
      <c r="I165" s="22"/>
      <c r="J165" s="22"/>
      <c r="K165" s="22"/>
      <c r="L165" s="22"/>
      <c r="M165" s="22"/>
      <c r="N165" s="22"/>
      <c r="O165" s="22"/>
      <c r="P165" s="22"/>
      <c r="Q165" s="22"/>
      <c r="R165" s="22" t="s">
        <v>35</v>
      </c>
      <c r="S165" s="33">
        <v>397.48842</v>
      </c>
      <c r="T165" s="33">
        <v>1254.015242</v>
      </c>
      <c r="U165" s="33">
        <f t="shared" si="23"/>
        <v>185.984758</v>
      </c>
      <c r="V165" s="34">
        <f t="shared" si="24"/>
        <v>0.870843918055555</v>
      </c>
    </row>
    <row r="166" ht="73" customHeight="1" spans="1:22">
      <c r="A166" s="22">
        <v>94</v>
      </c>
      <c r="B166" s="22" t="s">
        <v>338</v>
      </c>
      <c r="C166" s="22" t="s">
        <v>339</v>
      </c>
      <c r="D166" s="22" t="s">
        <v>340</v>
      </c>
      <c r="E166" s="22">
        <f t="shared" si="21"/>
        <v>359.342637</v>
      </c>
      <c r="F166" s="22">
        <f t="shared" si="22"/>
        <v>359.342637</v>
      </c>
      <c r="G166" s="40"/>
      <c r="H166" s="26">
        <f>387-24.759618-2.897745</f>
        <v>359.342637</v>
      </c>
      <c r="I166" s="22"/>
      <c r="J166" s="22"/>
      <c r="K166" s="22"/>
      <c r="L166" s="22"/>
      <c r="M166" s="22"/>
      <c r="N166" s="22"/>
      <c r="O166" s="22"/>
      <c r="P166" s="22"/>
      <c r="Q166" s="22"/>
      <c r="R166" s="22" t="s">
        <v>33</v>
      </c>
      <c r="S166" s="33"/>
      <c r="T166" s="33">
        <v>328.635834</v>
      </c>
      <c r="U166" s="33">
        <f t="shared" si="23"/>
        <v>30.706803</v>
      </c>
      <c r="V166" s="34">
        <f t="shared" si="24"/>
        <v>0.914547287635116</v>
      </c>
    </row>
    <row r="167" ht="73" customHeight="1" spans="1:22">
      <c r="A167" s="22">
        <v>95</v>
      </c>
      <c r="B167" s="22" t="s">
        <v>341</v>
      </c>
      <c r="C167" s="22" t="s">
        <v>342</v>
      </c>
      <c r="D167" s="22" t="s">
        <v>343</v>
      </c>
      <c r="E167" s="22">
        <f t="shared" si="21"/>
        <v>334.284657</v>
      </c>
      <c r="F167" s="22">
        <f t="shared" si="22"/>
        <v>334.284657</v>
      </c>
      <c r="G167" s="40"/>
      <c r="H167" s="26">
        <f>382.6-48.315343</f>
        <v>334.284657</v>
      </c>
      <c r="I167" s="22"/>
      <c r="J167" s="22"/>
      <c r="K167" s="22"/>
      <c r="L167" s="22"/>
      <c r="M167" s="22"/>
      <c r="N167" s="22"/>
      <c r="O167" s="22"/>
      <c r="P167" s="22"/>
      <c r="Q167" s="22"/>
      <c r="R167" s="22" t="s">
        <v>37</v>
      </c>
      <c r="S167" s="33">
        <v>107.88353</v>
      </c>
      <c r="T167" s="33">
        <v>312.45253</v>
      </c>
      <c r="U167" s="33">
        <f t="shared" si="23"/>
        <v>21.832127</v>
      </c>
      <c r="V167" s="34">
        <f t="shared" si="24"/>
        <v>0.934690011812298</v>
      </c>
    </row>
    <row r="168" ht="73" customHeight="1" spans="1:22">
      <c r="A168" s="22">
        <v>96</v>
      </c>
      <c r="B168" s="22" t="s">
        <v>344</v>
      </c>
      <c r="C168" s="22" t="s">
        <v>345</v>
      </c>
      <c r="D168" s="22" t="s">
        <v>346</v>
      </c>
      <c r="E168" s="22">
        <f t="shared" si="21"/>
        <v>349.269398</v>
      </c>
      <c r="F168" s="22">
        <f t="shared" si="22"/>
        <v>349.269398</v>
      </c>
      <c r="G168" s="40"/>
      <c r="H168" s="26">
        <f>387-37.730602</f>
        <v>349.269398</v>
      </c>
      <c r="I168" s="22"/>
      <c r="J168" s="22"/>
      <c r="K168" s="22"/>
      <c r="L168" s="22"/>
      <c r="M168" s="22"/>
      <c r="N168" s="22"/>
      <c r="O168" s="22"/>
      <c r="P168" s="22"/>
      <c r="Q168" s="22"/>
      <c r="R168" s="22" t="s">
        <v>39</v>
      </c>
      <c r="S168" s="33"/>
      <c r="T168" s="33">
        <v>310.4146</v>
      </c>
      <c r="U168" s="33">
        <f t="shared" si="23"/>
        <v>38.854798</v>
      </c>
      <c r="V168" s="34">
        <f t="shared" si="24"/>
        <v>0.888754072866126</v>
      </c>
    </row>
    <row r="169" ht="73" customHeight="1" spans="1:22">
      <c r="A169" s="22">
        <v>97</v>
      </c>
      <c r="B169" s="22" t="s">
        <v>347</v>
      </c>
      <c r="C169" s="22" t="s">
        <v>348</v>
      </c>
      <c r="D169" s="22" t="s">
        <v>349</v>
      </c>
      <c r="E169" s="22">
        <f t="shared" si="21"/>
        <v>374.823458</v>
      </c>
      <c r="F169" s="22">
        <f t="shared" si="22"/>
        <v>374.823458</v>
      </c>
      <c r="G169" s="40"/>
      <c r="H169" s="26">
        <f>384-9.176542</f>
        <v>374.823458</v>
      </c>
      <c r="I169" s="22"/>
      <c r="J169" s="22"/>
      <c r="K169" s="22"/>
      <c r="L169" s="22"/>
      <c r="M169" s="22"/>
      <c r="N169" s="22"/>
      <c r="O169" s="22"/>
      <c r="P169" s="22"/>
      <c r="Q169" s="22"/>
      <c r="R169" s="22" t="s">
        <v>38</v>
      </c>
      <c r="S169" s="33">
        <v>35.43672</v>
      </c>
      <c r="T169" s="33">
        <v>362.497</v>
      </c>
      <c r="U169" s="33">
        <f t="shared" si="23"/>
        <v>12.326458</v>
      </c>
      <c r="V169" s="34">
        <f t="shared" si="24"/>
        <v>0.967113963288818</v>
      </c>
    </row>
    <row r="170" ht="73" customHeight="1" spans="1:22">
      <c r="A170" s="22">
        <v>98</v>
      </c>
      <c r="B170" s="22" t="s">
        <v>350</v>
      </c>
      <c r="C170" s="22" t="s">
        <v>351</v>
      </c>
      <c r="D170" s="22" t="s">
        <v>352</v>
      </c>
      <c r="E170" s="22">
        <f t="shared" si="21"/>
        <v>346.402013</v>
      </c>
      <c r="F170" s="22">
        <f t="shared" si="22"/>
        <v>346.402013</v>
      </c>
      <c r="G170" s="40"/>
      <c r="H170" s="26">
        <f>384-25-12.597987</f>
        <v>346.402013</v>
      </c>
      <c r="I170" s="22"/>
      <c r="J170" s="22"/>
      <c r="K170" s="22"/>
      <c r="L170" s="22"/>
      <c r="M170" s="22"/>
      <c r="N170" s="22"/>
      <c r="O170" s="22"/>
      <c r="P170" s="22"/>
      <c r="Q170" s="22"/>
      <c r="R170" s="22" t="s">
        <v>34</v>
      </c>
      <c r="S170" s="33"/>
      <c r="T170" s="33">
        <v>307.247842</v>
      </c>
      <c r="U170" s="33">
        <f t="shared" si="23"/>
        <v>39.154171</v>
      </c>
      <c r="V170" s="34">
        <f t="shared" si="24"/>
        <v>0.886968985367876</v>
      </c>
    </row>
    <row r="171" ht="73" customHeight="1" spans="1:22">
      <c r="A171" s="22">
        <v>99</v>
      </c>
      <c r="B171" s="22" t="s">
        <v>353</v>
      </c>
      <c r="C171" s="22" t="s">
        <v>354</v>
      </c>
      <c r="D171" s="22" t="s">
        <v>355</v>
      </c>
      <c r="E171" s="22">
        <f t="shared" si="21"/>
        <v>407.09</v>
      </c>
      <c r="F171" s="22">
        <f t="shared" si="22"/>
        <v>407.09</v>
      </c>
      <c r="G171" s="40"/>
      <c r="H171" s="26">
        <f>450-39.727186-3.182814</f>
        <v>407.09</v>
      </c>
      <c r="I171" s="22"/>
      <c r="J171" s="22"/>
      <c r="K171" s="22"/>
      <c r="L171" s="22"/>
      <c r="M171" s="22"/>
      <c r="N171" s="22"/>
      <c r="O171" s="22"/>
      <c r="P171" s="22"/>
      <c r="Q171" s="22"/>
      <c r="R171" s="22" t="s">
        <v>244</v>
      </c>
      <c r="S171" s="33">
        <v>161.825609</v>
      </c>
      <c r="T171" s="33">
        <v>402.481009</v>
      </c>
      <c r="U171" s="33">
        <f t="shared" si="23"/>
        <v>4.608991</v>
      </c>
      <c r="V171" s="34">
        <f t="shared" si="24"/>
        <v>0.98867820138053</v>
      </c>
    </row>
    <row r="172" ht="73" customHeight="1" spans="1:22">
      <c r="A172" s="22">
        <v>100</v>
      </c>
      <c r="B172" s="22" t="s">
        <v>356</v>
      </c>
      <c r="C172" s="22" t="s">
        <v>357</v>
      </c>
      <c r="D172" s="22" t="s">
        <v>358</v>
      </c>
      <c r="E172" s="22">
        <f t="shared" si="21"/>
        <v>790</v>
      </c>
      <c r="F172" s="22">
        <f t="shared" si="22"/>
        <v>790</v>
      </c>
      <c r="G172" s="39">
        <v>300</v>
      </c>
      <c r="H172" s="42">
        <f>600-69.17083-5.835607-34.993563</f>
        <v>490</v>
      </c>
      <c r="I172" s="22"/>
      <c r="J172" s="22"/>
      <c r="K172" s="22"/>
      <c r="L172" s="22"/>
      <c r="M172" s="22"/>
      <c r="N172" s="22"/>
      <c r="O172" s="22"/>
      <c r="P172" s="22"/>
      <c r="Q172" s="22"/>
      <c r="R172" s="22" t="s">
        <v>43</v>
      </c>
      <c r="S172" s="33">
        <v>258.5603</v>
      </c>
      <c r="T172" s="33">
        <v>726.9837</v>
      </c>
      <c r="U172" s="33">
        <f t="shared" si="23"/>
        <v>63.0163</v>
      </c>
      <c r="V172" s="34">
        <f t="shared" si="24"/>
        <v>0.92023253164557</v>
      </c>
    </row>
    <row r="173" ht="73" customHeight="1" spans="1:22">
      <c r="A173" s="22">
        <v>101</v>
      </c>
      <c r="B173" s="22" t="s">
        <v>359</v>
      </c>
      <c r="C173" s="22" t="s">
        <v>360</v>
      </c>
      <c r="D173" s="22" t="s">
        <v>361</v>
      </c>
      <c r="E173" s="22">
        <f>F173</f>
        <v>361.232527</v>
      </c>
      <c r="F173" s="22">
        <f t="shared" si="22"/>
        <v>361.232527</v>
      </c>
      <c r="G173" s="39">
        <f>384-20.74364-1.730537-0.293296</f>
        <v>361.232527</v>
      </c>
      <c r="H173" s="22"/>
      <c r="I173" s="22"/>
      <c r="J173" s="22"/>
      <c r="K173" s="22"/>
      <c r="L173" s="22"/>
      <c r="M173" s="22"/>
      <c r="N173" s="22"/>
      <c r="O173" s="22"/>
      <c r="P173" s="22"/>
      <c r="Q173" s="22"/>
      <c r="R173" s="22" t="s">
        <v>31</v>
      </c>
      <c r="S173" s="33"/>
      <c r="T173" s="33">
        <v>323.208474</v>
      </c>
      <c r="U173" s="33">
        <f t="shared" si="23"/>
        <v>38.024053</v>
      </c>
      <c r="V173" s="34">
        <f t="shared" si="24"/>
        <v>0.894738014553158</v>
      </c>
    </row>
    <row r="174" ht="73" customHeight="1" spans="1:22">
      <c r="A174" s="22">
        <v>102</v>
      </c>
      <c r="B174" s="22" t="s">
        <v>362</v>
      </c>
      <c r="C174" s="22" t="s">
        <v>363</v>
      </c>
      <c r="D174" s="22" t="s">
        <v>364</v>
      </c>
      <c r="E174" s="22">
        <f>F174+N174+O174+P174+Q174</f>
        <v>318</v>
      </c>
      <c r="F174" s="22">
        <f t="shared" si="22"/>
        <v>318</v>
      </c>
      <c r="G174" s="41"/>
      <c r="H174" s="22"/>
      <c r="I174" s="39">
        <f>318</f>
        <v>318</v>
      </c>
      <c r="J174" s="22"/>
      <c r="K174" s="22"/>
      <c r="L174" s="22"/>
      <c r="M174" s="22"/>
      <c r="N174" s="22"/>
      <c r="O174" s="22"/>
      <c r="P174" s="22"/>
      <c r="Q174" s="22"/>
      <c r="R174" s="22" t="s">
        <v>365</v>
      </c>
      <c r="S174" s="33">
        <v>120.8233</v>
      </c>
      <c r="T174" s="33">
        <v>295.3433</v>
      </c>
      <c r="U174" s="33">
        <f t="shared" si="23"/>
        <v>22.6567</v>
      </c>
      <c r="V174" s="34">
        <f t="shared" si="24"/>
        <v>0.92875251572327</v>
      </c>
    </row>
    <row r="175" ht="73" customHeight="1" spans="1:22">
      <c r="A175" s="22">
        <v>103</v>
      </c>
      <c r="B175" s="22" t="s">
        <v>366</v>
      </c>
      <c r="C175" s="22" t="s">
        <v>367</v>
      </c>
      <c r="D175" s="22" t="s">
        <v>368</v>
      </c>
      <c r="E175" s="22">
        <f>F175+N175+O175+P175+Q175</f>
        <v>119.584275</v>
      </c>
      <c r="F175" s="22">
        <f t="shared" si="22"/>
        <v>119.584275</v>
      </c>
      <c r="G175" s="41"/>
      <c r="H175" s="22"/>
      <c r="I175" s="39">
        <f>119.584275</f>
        <v>119.584275</v>
      </c>
      <c r="J175" s="22"/>
      <c r="K175" s="22"/>
      <c r="L175" s="22"/>
      <c r="M175" s="22"/>
      <c r="N175" s="22"/>
      <c r="O175" s="22"/>
      <c r="P175" s="22"/>
      <c r="Q175" s="22"/>
      <c r="R175" s="22" t="s">
        <v>34</v>
      </c>
      <c r="S175" s="33">
        <v>58.755186</v>
      </c>
      <c r="T175" s="33">
        <v>89.522429</v>
      </c>
      <c r="U175" s="33">
        <f t="shared" si="23"/>
        <v>30.061846</v>
      </c>
      <c r="V175" s="34">
        <f t="shared" si="24"/>
        <v>0.748613720324014</v>
      </c>
    </row>
    <row r="176" s="5" customFormat="1" ht="73" customHeight="1" spans="1:22">
      <c r="A176" s="22" t="s">
        <v>369</v>
      </c>
      <c r="B176" s="22"/>
      <c r="C176" s="22" t="s">
        <v>370</v>
      </c>
      <c r="D176" s="22"/>
      <c r="E176" s="22">
        <f t="shared" ref="E176:Q176" si="25">E177</f>
        <v>2681.388392</v>
      </c>
      <c r="F176" s="22">
        <f t="shared" si="25"/>
        <v>2681.388392</v>
      </c>
      <c r="G176" s="22">
        <f t="shared" si="25"/>
        <v>2514.157781</v>
      </c>
      <c r="H176" s="22">
        <f t="shared" si="25"/>
        <v>167.230611</v>
      </c>
      <c r="I176" s="22">
        <f t="shared" si="25"/>
        <v>0</v>
      </c>
      <c r="J176" s="22">
        <f t="shared" si="25"/>
        <v>0</v>
      </c>
      <c r="K176" s="22">
        <f t="shared" si="25"/>
        <v>0</v>
      </c>
      <c r="L176" s="22">
        <f t="shared" si="25"/>
        <v>0</v>
      </c>
      <c r="M176" s="22">
        <f t="shared" si="25"/>
        <v>0</v>
      </c>
      <c r="N176" s="22">
        <f t="shared" si="25"/>
        <v>0</v>
      </c>
      <c r="O176" s="22">
        <f t="shared" si="25"/>
        <v>0</v>
      </c>
      <c r="P176" s="22">
        <f t="shared" si="25"/>
        <v>0</v>
      </c>
      <c r="Q176" s="22">
        <f t="shared" si="25"/>
        <v>0</v>
      </c>
      <c r="R176" s="22"/>
      <c r="S176" s="33">
        <v>3.3</v>
      </c>
      <c r="T176" s="33">
        <v>1535.7</v>
      </c>
      <c r="U176" s="33">
        <f t="shared" si="23"/>
        <v>1145.688392</v>
      </c>
      <c r="V176" s="34">
        <f t="shared" si="24"/>
        <v>0.57272568367261</v>
      </c>
    </row>
    <row r="177" ht="73" customHeight="1" spans="1:22">
      <c r="A177" s="22">
        <v>104</v>
      </c>
      <c r="B177" s="22" t="s">
        <v>371</v>
      </c>
      <c r="C177" s="22" t="s">
        <v>372</v>
      </c>
      <c r="D177" s="22" t="s">
        <v>373</v>
      </c>
      <c r="E177" s="22">
        <f>F177</f>
        <v>2681.388392</v>
      </c>
      <c r="F177" s="22">
        <f>G177+I177+J177+K177+L177+M177+H177</f>
        <v>2681.388392</v>
      </c>
      <c r="G177" s="22">
        <f>G178+G179+G180+G181+G182+G183+G184+G185+G186+G187+G188+G189+G190</f>
        <v>2514.157781</v>
      </c>
      <c r="H177" s="22">
        <f>H178+H179+H180+H181+H182+H183+H184+H185+H186+H187+H188+H189+H190</f>
        <v>167.230611</v>
      </c>
      <c r="I177" s="22"/>
      <c r="J177" s="22"/>
      <c r="K177" s="22"/>
      <c r="L177" s="22"/>
      <c r="M177" s="22"/>
      <c r="N177" s="22"/>
      <c r="O177" s="22"/>
      <c r="P177" s="22"/>
      <c r="Q177" s="22"/>
      <c r="R177" s="22" t="s">
        <v>374</v>
      </c>
      <c r="S177" s="33">
        <v>3.3</v>
      </c>
      <c r="T177" s="33">
        <v>1535.7</v>
      </c>
      <c r="U177" s="33">
        <f t="shared" si="23"/>
        <v>1145.688392</v>
      </c>
      <c r="V177" s="34">
        <f t="shared" si="24"/>
        <v>0.57272568367261</v>
      </c>
    </row>
    <row r="178" ht="73" customHeight="1" spans="1:22">
      <c r="A178" s="22"/>
      <c r="B178" s="22"/>
      <c r="C178" s="22" t="s">
        <v>372</v>
      </c>
      <c r="D178" s="22"/>
      <c r="E178" s="22">
        <f>146.7-23.7+32.4+33</f>
        <v>188.4</v>
      </c>
      <c r="F178" s="22"/>
      <c r="G178" s="22">
        <v>188.4</v>
      </c>
      <c r="H178" s="22"/>
      <c r="I178" s="22"/>
      <c r="J178" s="22"/>
      <c r="K178" s="22"/>
      <c r="L178" s="22"/>
      <c r="M178" s="22"/>
      <c r="N178" s="22"/>
      <c r="O178" s="22"/>
      <c r="P178" s="22"/>
      <c r="Q178" s="22"/>
      <c r="R178" s="22" t="s">
        <v>31</v>
      </c>
      <c r="S178" s="33">
        <v>1.2</v>
      </c>
      <c r="T178" s="33">
        <v>123</v>
      </c>
      <c r="U178" s="33">
        <f t="shared" si="23"/>
        <v>65.4</v>
      </c>
      <c r="V178" s="34">
        <f t="shared" si="24"/>
        <v>0.652866242038217</v>
      </c>
    </row>
    <row r="179" ht="73" customHeight="1" spans="1:22">
      <c r="A179" s="22"/>
      <c r="B179" s="22"/>
      <c r="C179" s="22" t="s">
        <v>372</v>
      </c>
      <c r="D179" s="22"/>
      <c r="E179" s="22">
        <f>153.9+114</f>
        <v>267.9</v>
      </c>
      <c r="F179" s="22"/>
      <c r="G179" s="22">
        <v>263.717229</v>
      </c>
      <c r="H179" s="22">
        <v>4.182771</v>
      </c>
      <c r="I179" s="22"/>
      <c r="J179" s="22"/>
      <c r="K179" s="22"/>
      <c r="L179" s="22"/>
      <c r="M179" s="22"/>
      <c r="N179" s="22"/>
      <c r="O179" s="22"/>
      <c r="P179" s="22"/>
      <c r="Q179" s="22"/>
      <c r="R179" s="22" t="s">
        <v>32</v>
      </c>
      <c r="S179" s="33">
        <v>0.9</v>
      </c>
      <c r="T179" s="33">
        <v>153.3</v>
      </c>
      <c r="U179" s="33">
        <f t="shared" ref="U179:U196" si="26">E179-T179</f>
        <v>114.6</v>
      </c>
      <c r="V179" s="34">
        <f t="shared" si="24"/>
        <v>0.572228443449048</v>
      </c>
    </row>
    <row r="180" ht="73" customHeight="1" spans="1:22">
      <c r="A180" s="22"/>
      <c r="B180" s="22"/>
      <c r="C180" s="22" t="s">
        <v>372</v>
      </c>
      <c r="D180" s="22"/>
      <c r="E180" s="22">
        <f>133.8+1.5+54.6+36</f>
        <v>225.9</v>
      </c>
      <c r="F180" s="22"/>
      <c r="G180" s="22">
        <v>225.9</v>
      </c>
      <c r="H180" s="22"/>
      <c r="I180" s="22"/>
      <c r="J180" s="22"/>
      <c r="K180" s="22"/>
      <c r="L180" s="22"/>
      <c r="M180" s="22"/>
      <c r="N180" s="22"/>
      <c r="O180" s="22"/>
      <c r="P180" s="22"/>
      <c r="Q180" s="22"/>
      <c r="R180" s="22" t="s">
        <v>33</v>
      </c>
      <c r="S180" s="33"/>
      <c r="T180" s="33">
        <v>135.3</v>
      </c>
      <c r="U180" s="33">
        <f t="shared" si="26"/>
        <v>90.6</v>
      </c>
      <c r="V180" s="34">
        <f t="shared" si="24"/>
        <v>0.598937583001328</v>
      </c>
    </row>
    <row r="181" ht="73" customHeight="1" spans="1:22">
      <c r="A181" s="22"/>
      <c r="B181" s="22"/>
      <c r="C181" s="22" t="s">
        <v>372</v>
      </c>
      <c r="D181" s="22"/>
      <c r="E181" s="22">
        <f>164.7+90+10.2</f>
        <v>264.9</v>
      </c>
      <c r="F181" s="22"/>
      <c r="G181" s="22">
        <v>254.7</v>
      </c>
      <c r="H181" s="22">
        <v>10.2</v>
      </c>
      <c r="I181" s="22"/>
      <c r="J181" s="22"/>
      <c r="K181" s="22"/>
      <c r="L181" s="22"/>
      <c r="M181" s="22"/>
      <c r="N181" s="22"/>
      <c r="O181" s="22"/>
      <c r="P181" s="22"/>
      <c r="Q181" s="22"/>
      <c r="R181" s="22" t="s">
        <v>34</v>
      </c>
      <c r="S181" s="33">
        <v>0.3</v>
      </c>
      <c r="T181" s="33">
        <v>164.7</v>
      </c>
      <c r="U181" s="33">
        <f t="shared" si="26"/>
        <v>100.2</v>
      </c>
      <c r="V181" s="34">
        <f t="shared" si="24"/>
        <v>0.621744054360136</v>
      </c>
    </row>
    <row r="182" ht="73" customHeight="1" spans="1:22">
      <c r="A182" s="22"/>
      <c r="B182" s="22"/>
      <c r="C182" s="22" t="s">
        <v>372</v>
      </c>
      <c r="D182" s="22"/>
      <c r="E182" s="22">
        <f>157.2+60+34.5</f>
        <v>251.7</v>
      </c>
      <c r="F182" s="22"/>
      <c r="G182" s="22">
        <v>181.304182</v>
      </c>
      <c r="H182" s="22">
        <v>70.395818</v>
      </c>
      <c r="I182" s="22"/>
      <c r="J182" s="22"/>
      <c r="K182" s="22"/>
      <c r="L182" s="22"/>
      <c r="M182" s="22"/>
      <c r="N182" s="22"/>
      <c r="O182" s="22"/>
      <c r="P182" s="22"/>
      <c r="Q182" s="22"/>
      <c r="R182" s="22" t="s">
        <v>35</v>
      </c>
      <c r="S182" s="33"/>
      <c r="T182" s="33">
        <v>157.2</v>
      </c>
      <c r="U182" s="33">
        <f t="shared" si="26"/>
        <v>94.5</v>
      </c>
      <c r="V182" s="34">
        <f t="shared" si="24"/>
        <v>0.624553039332539</v>
      </c>
    </row>
    <row r="183" ht="73" customHeight="1" spans="1:22">
      <c r="A183" s="22"/>
      <c r="B183" s="22"/>
      <c r="C183" s="22" t="s">
        <v>372</v>
      </c>
      <c r="D183" s="22"/>
      <c r="E183" s="22">
        <f>58.2+18.3898-0.3-0.3+40</f>
        <v>115.9898</v>
      </c>
      <c r="F183" s="22"/>
      <c r="G183" s="22">
        <v>115.9898</v>
      </c>
      <c r="H183" s="22"/>
      <c r="I183" s="22"/>
      <c r="J183" s="22"/>
      <c r="K183" s="22"/>
      <c r="L183" s="22"/>
      <c r="M183" s="22"/>
      <c r="N183" s="22"/>
      <c r="O183" s="22"/>
      <c r="P183" s="22"/>
      <c r="Q183" s="22"/>
      <c r="R183" s="22" t="s">
        <v>36</v>
      </c>
      <c r="S183" s="33">
        <v>0.3</v>
      </c>
      <c r="T183" s="33">
        <v>58.5</v>
      </c>
      <c r="U183" s="33">
        <f t="shared" si="26"/>
        <v>57.4898</v>
      </c>
      <c r="V183" s="34">
        <f t="shared" si="24"/>
        <v>0.504354693257511</v>
      </c>
    </row>
    <row r="184" ht="73" customHeight="1" spans="1:22">
      <c r="A184" s="22"/>
      <c r="B184" s="22"/>
      <c r="C184" s="22" t="s">
        <v>372</v>
      </c>
      <c r="D184" s="22"/>
      <c r="E184" s="22">
        <f>114.3+0.3+15+15.321464+13.100697+12</f>
        <v>170.022161</v>
      </c>
      <c r="F184" s="22"/>
      <c r="G184" s="22">
        <v>158.022161</v>
      </c>
      <c r="H184" s="22">
        <v>12</v>
      </c>
      <c r="I184" s="22"/>
      <c r="J184" s="22"/>
      <c r="K184" s="22"/>
      <c r="L184" s="22"/>
      <c r="M184" s="22"/>
      <c r="N184" s="22"/>
      <c r="O184" s="22"/>
      <c r="P184" s="22"/>
      <c r="Q184" s="22"/>
      <c r="R184" s="22" t="s">
        <v>37</v>
      </c>
      <c r="S184" s="33"/>
      <c r="T184" s="33">
        <v>114.3</v>
      </c>
      <c r="U184" s="33">
        <f t="shared" si="26"/>
        <v>55.722161</v>
      </c>
      <c r="V184" s="34">
        <f t="shared" si="24"/>
        <v>0.672265305462151</v>
      </c>
    </row>
    <row r="185" ht="73" customHeight="1" spans="1:22">
      <c r="A185" s="22"/>
      <c r="B185" s="22"/>
      <c r="C185" s="22" t="s">
        <v>372</v>
      </c>
      <c r="D185" s="22"/>
      <c r="E185" s="22">
        <f>184.2+140</f>
        <v>324.2</v>
      </c>
      <c r="F185" s="22"/>
      <c r="G185" s="22">
        <v>324.2</v>
      </c>
      <c r="H185" s="22"/>
      <c r="I185" s="22"/>
      <c r="J185" s="22"/>
      <c r="K185" s="22"/>
      <c r="L185" s="22"/>
      <c r="M185" s="22"/>
      <c r="N185" s="22"/>
      <c r="O185" s="22"/>
      <c r="P185" s="22"/>
      <c r="Q185" s="22"/>
      <c r="R185" s="22" t="s">
        <v>38</v>
      </c>
      <c r="S185" s="33"/>
      <c r="T185" s="33">
        <v>183.9</v>
      </c>
      <c r="U185" s="33">
        <f t="shared" si="26"/>
        <v>140.3</v>
      </c>
      <c r="V185" s="34">
        <f t="shared" si="24"/>
        <v>0.567242442936459</v>
      </c>
    </row>
    <row r="186" ht="73" customHeight="1" spans="1:22">
      <c r="A186" s="22"/>
      <c r="B186" s="22"/>
      <c r="C186" s="22" t="s">
        <v>372</v>
      </c>
      <c r="D186" s="22"/>
      <c r="E186" s="22">
        <f>122.7+7.8-3.328459+150-0.023569</f>
        <v>277.147972</v>
      </c>
      <c r="F186" s="22"/>
      <c r="G186" s="22">
        <v>277.147972</v>
      </c>
      <c r="H186" s="22"/>
      <c r="I186" s="22"/>
      <c r="J186" s="22"/>
      <c r="K186" s="22"/>
      <c r="L186" s="22"/>
      <c r="M186" s="22"/>
      <c r="N186" s="22"/>
      <c r="O186" s="22"/>
      <c r="P186" s="22"/>
      <c r="Q186" s="22"/>
      <c r="R186" s="22" t="s">
        <v>39</v>
      </c>
      <c r="S186" s="33"/>
      <c r="T186" s="33">
        <v>121.5</v>
      </c>
      <c r="U186" s="33">
        <f t="shared" si="26"/>
        <v>155.647972</v>
      </c>
      <c r="V186" s="34">
        <f t="shared" si="24"/>
        <v>0.438393971001166</v>
      </c>
    </row>
    <row r="187" ht="73" customHeight="1" spans="1:22">
      <c r="A187" s="22"/>
      <c r="B187" s="22"/>
      <c r="C187" s="22" t="s">
        <v>372</v>
      </c>
      <c r="D187" s="22"/>
      <c r="E187" s="22">
        <f>40.2+20.1+6.9+17.1+48.6</f>
        <v>132.9</v>
      </c>
      <c r="F187" s="22"/>
      <c r="G187" s="22">
        <v>94.205293</v>
      </c>
      <c r="H187" s="22">
        <f>24.759618+3.808+10.127089</f>
        <v>38.694707</v>
      </c>
      <c r="I187" s="22"/>
      <c r="J187" s="22"/>
      <c r="K187" s="22"/>
      <c r="L187" s="22"/>
      <c r="M187" s="22"/>
      <c r="N187" s="22"/>
      <c r="O187" s="22"/>
      <c r="P187" s="22"/>
      <c r="Q187" s="22"/>
      <c r="R187" s="22" t="s">
        <v>40</v>
      </c>
      <c r="S187" s="33"/>
      <c r="T187" s="33">
        <v>66.3</v>
      </c>
      <c r="U187" s="33">
        <f t="shared" si="26"/>
        <v>66.6</v>
      </c>
      <c r="V187" s="34">
        <f t="shared" si="24"/>
        <v>0.498871331828443</v>
      </c>
    </row>
    <row r="188" ht="73" customHeight="1" spans="1:22">
      <c r="A188" s="22"/>
      <c r="B188" s="22"/>
      <c r="C188" s="22" t="s">
        <v>372</v>
      </c>
      <c r="D188" s="22"/>
      <c r="E188" s="22">
        <f>35.1+1.8+19.2</f>
        <v>56.1</v>
      </c>
      <c r="F188" s="22"/>
      <c r="G188" s="22">
        <v>56.1</v>
      </c>
      <c r="H188" s="22"/>
      <c r="I188" s="22"/>
      <c r="J188" s="22"/>
      <c r="K188" s="22"/>
      <c r="L188" s="22"/>
      <c r="M188" s="22"/>
      <c r="N188" s="22"/>
      <c r="O188" s="22"/>
      <c r="P188" s="22"/>
      <c r="Q188" s="22"/>
      <c r="R188" s="22" t="s">
        <v>41</v>
      </c>
      <c r="S188" s="33"/>
      <c r="T188" s="33">
        <v>36.9</v>
      </c>
      <c r="U188" s="33">
        <f t="shared" si="26"/>
        <v>19.2</v>
      </c>
      <c r="V188" s="34">
        <f t="shared" si="24"/>
        <v>0.657754010695187</v>
      </c>
    </row>
    <row r="189" ht="73" customHeight="1" spans="1:22">
      <c r="A189" s="22"/>
      <c r="B189" s="22"/>
      <c r="C189" s="22" t="s">
        <v>372</v>
      </c>
      <c r="D189" s="22"/>
      <c r="E189" s="22">
        <f>86.4+84-7.5</f>
        <v>162.9</v>
      </c>
      <c r="F189" s="22"/>
      <c r="G189" s="22">
        <v>162.9</v>
      </c>
      <c r="H189" s="22"/>
      <c r="I189" s="22"/>
      <c r="J189" s="22"/>
      <c r="K189" s="22"/>
      <c r="L189" s="22"/>
      <c r="M189" s="22"/>
      <c r="N189" s="22"/>
      <c r="O189" s="22"/>
      <c r="P189" s="22"/>
      <c r="Q189" s="22"/>
      <c r="R189" s="22" t="s">
        <v>42</v>
      </c>
      <c r="S189" s="33"/>
      <c r="T189" s="33">
        <v>86.4</v>
      </c>
      <c r="U189" s="33">
        <f t="shared" si="26"/>
        <v>76.5</v>
      </c>
      <c r="V189" s="34">
        <f t="shared" si="24"/>
        <v>0.530386740331492</v>
      </c>
    </row>
    <row r="190" ht="73" customHeight="1" spans="1:22">
      <c r="A190" s="22"/>
      <c r="B190" s="22"/>
      <c r="C190" s="22" t="s">
        <v>372</v>
      </c>
      <c r="D190" s="22"/>
      <c r="E190" s="22">
        <f>134.93719+3.328459+23.7+29.5+50.6+0.5+0.76281</f>
        <v>243.328459</v>
      </c>
      <c r="F190" s="22"/>
      <c r="G190" s="22">
        <v>211.571144</v>
      </c>
      <c r="H190" s="22">
        <v>31.757315</v>
      </c>
      <c r="I190" s="22"/>
      <c r="J190" s="22"/>
      <c r="K190" s="22"/>
      <c r="L190" s="22"/>
      <c r="M190" s="22"/>
      <c r="N190" s="22"/>
      <c r="O190" s="22"/>
      <c r="P190" s="22"/>
      <c r="Q190" s="22"/>
      <c r="R190" s="22" t="s">
        <v>43</v>
      </c>
      <c r="S190" s="33">
        <v>0.6</v>
      </c>
      <c r="T190" s="33">
        <v>134.4</v>
      </c>
      <c r="U190" s="33">
        <f t="shared" si="26"/>
        <v>108.928459</v>
      </c>
      <c r="V190" s="34">
        <f t="shared" si="24"/>
        <v>0.552339831322402</v>
      </c>
    </row>
    <row r="191" s="6" customFormat="1" ht="73" customHeight="1" spans="1:22">
      <c r="A191" s="22" t="s">
        <v>375</v>
      </c>
      <c r="B191" s="22"/>
      <c r="C191" s="22" t="s">
        <v>376</v>
      </c>
      <c r="D191" s="22"/>
      <c r="E191" s="22">
        <f t="shared" ref="E191:Q191" si="27">E192</f>
        <v>260</v>
      </c>
      <c r="F191" s="22">
        <f t="shared" si="27"/>
        <v>0</v>
      </c>
      <c r="G191" s="22">
        <f t="shared" si="27"/>
        <v>0</v>
      </c>
      <c r="H191" s="22">
        <f t="shared" si="27"/>
        <v>0</v>
      </c>
      <c r="I191" s="22">
        <f t="shared" si="27"/>
        <v>0</v>
      </c>
      <c r="J191" s="22">
        <f t="shared" si="27"/>
        <v>0</v>
      </c>
      <c r="K191" s="22">
        <f t="shared" si="27"/>
        <v>0</v>
      </c>
      <c r="L191" s="22">
        <f t="shared" si="27"/>
        <v>0</v>
      </c>
      <c r="M191" s="22">
        <f t="shared" si="27"/>
        <v>0</v>
      </c>
      <c r="N191" s="22">
        <f t="shared" si="27"/>
        <v>0</v>
      </c>
      <c r="O191" s="22">
        <f t="shared" si="27"/>
        <v>0</v>
      </c>
      <c r="P191" s="22">
        <f t="shared" si="27"/>
        <v>260</v>
      </c>
      <c r="Q191" s="22">
        <f t="shared" si="27"/>
        <v>0</v>
      </c>
      <c r="R191" s="22"/>
      <c r="S191" s="33">
        <v>0</v>
      </c>
      <c r="T191" s="33">
        <v>201.44</v>
      </c>
      <c r="U191" s="33">
        <f t="shared" si="26"/>
        <v>58.56</v>
      </c>
      <c r="V191" s="34">
        <f t="shared" si="24"/>
        <v>0.774769230769231</v>
      </c>
    </row>
    <row r="192" s="7" customFormat="1" ht="73" customHeight="1" spans="1:22">
      <c r="A192" s="22">
        <v>105</v>
      </c>
      <c r="B192" s="22" t="s">
        <v>377</v>
      </c>
      <c r="C192" s="22" t="s">
        <v>378</v>
      </c>
      <c r="D192" s="22" t="s">
        <v>379</v>
      </c>
      <c r="E192" s="22">
        <f t="shared" ref="E192:E196" si="28">F192+N192+O192+P192+Q192</f>
        <v>260</v>
      </c>
      <c r="F192" s="22"/>
      <c r="G192" s="22"/>
      <c r="H192" s="22"/>
      <c r="I192" s="22"/>
      <c r="J192" s="22"/>
      <c r="K192" s="22"/>
      <c r="L192" s="22"/>
      <c r="M192" s="22"/>
      <c r="N192" s="22"/>
      <c r="O192" s="22"/>
      <c r="P192" s="22">
        <v>260</v>
      </c>
      <c r="Q192" s="22"/>
      <c r="R192" s="22" t="s">
        <v>380</v>
      </c>
      <c r="S192" s="33"/>
      <c r="T192" s="33">
        <v>201.44</v>
      </c>
      <c r="U192" s="33">
        <f t="shared" si="26"/>
        <v>58.56</v>
      </c>
      <c r="V192" s="34">
        <f t="shared" si="24"/>
        <v>0.774769230769231</v>
      </c>
    </row>
    <row r="193" s="6" customFormat="1" ht="73" customHeight="1" spans="1:22">
      <c r="A193" s="22" t="s">
        <v>381</v>
      </c>
      <c r="B193" s="22"/>
      <c r="C193" s="22" t="s">
        <v>382</v>
      </c>
      <c r="D193" s="22"/>
      <c r="E193" s="22">
        <f t="shared" ref="E193:Q193" si="29">E194</f>
        <v>45.9848</v>
      </c>
      <c r="F193" s="22">
        <f t="shared" si="29"/>
        <v>45.9848</v>
      </c>
      <c r="G193" s="22">
        <f t="shared" si="29"/>
        <v>0</v>
      </c>
      <c r="H193" s="22">
        <f t="shared" si="29"/>
        <v>0</v>
      </c>
      <c r="I193" s="22">
        <f t="shared" si="29"/>
        <v>0</v>
      </c>
      <c r="J193" s="22">
        <f t="shared" si="29"/>
        <v>45.9848</v>
      </c>
      <c r="K193" s="22">
        <f t="shared" si="29"/>
        <v>0</v>
      </c>
      <c r="L193" s="22">
        <f t="shared" si="29"/>
        <v>0</v>
      </c>
      <c r="M193" s="22">
        <f t="shared" si="29"/>
        <v>0</v>
      </c>
      <c r="N193" s="22">
        <f t="shared" si="29"/>
        <v>0</v>
      </c>
      <c r="O193" s="22">
        <f t="shared" si="29"/>
        <v>0</v>
      </c>
      <c r="P193" s="22">
        <f t="shared" si="29"/>
        <v>0</v>
      </c>
      <c r="Q193" s="22">
        <f t="shared" si="29"/>
        <v>0</v>
      </c>
      <c r="R193" s="22"/>
      <c r="S193" s="33">
        <v>0</v>
      </c>
      <c r="T193" s="33">
        <v>45.9848</v>
      </c>
      <c r="U193" s="33">
        <f t="shared" si="26"/>
        <v>0</v>
      </c>
      <c r="V193" s="34">
        <f t="shared" si="24"/>
        <v>1</v>
      </c>
    </row>
    <row r="194" s="7" customFormat="1" ht="73" customHeight="1" spans="1:22">
      <c r="A194" s="22">
        <v>106</v>
      </c>
      <c r="B194" s="22" t="s">
        <v>383</v>
      </c>
      <c r="C194" s="22" t="s">
        <v>384</v>
      </c>
      <c r="D194" s="25" t="s">
        <v>385</v>
      </c>
      <c r="E194" s="43">
        <f t="shared" si="28"/>
        <v>45.9848</v>
      </c>
      <c r="F194" s="43">
        <f t="shared" ref="F194:F196" si="30">G194+I194+J194+K194+L194+M194+H194</f>
        <v>45.9848</v>
      </c>
      <c r="G194" s="22"/>
      <c r="H194" s="22"/>
      <c r="I194" s="44"/>
      <c r="J194" s="44">
        <f>46-0.0152</f>
        <v>45.9848</v>
      </c>
      <c r="K194" s="44"/>
      <c r="L194" s="44"/>
      <c r="M194" s="44"/>
      <c r="N194" s="22"/>
      <c r="O194" s="22"/>
      <c r="P194" s="22"/>
      <c r="Q194" s="22"/>
      <c r="R194" s="22" t="s">
        <v>386</v>
      </c>
      <c r="S194" s="33"/>
      <c r="T194" s="33">
        <v>45.9848</v>
      </c>
      <c r="U194" s="33">
        <f t="shared" si="26"/>
        <v>0</v>
      </c>
      <c r="V194" s="34">
        <f t="shared" si="24"/>
        <v>1</v>
      </c>
    </row>
    <row r="195" s="7" customFormat="1" ht="73" customHeight="1" spans="1:22">
      <c r="A195" s="22" t="s">
        <v>387</v>
      </c>
      <c r="B195" s="22"/>
      <c r="C195" s="22" t="s">
        <v>388</v>
      </c>
      <c r="D195" s="25"/>
      <c r="E195" s="43">
        <f t="shared" si="28"/>
        <v>70</v>
      </c>
      <c r="F195" s="43">
        <f t="shared" si="30"/>
        <v>70</v>
      </c>
      <c r="G195" s="22">
        <f>G196</f>
        <v>70</v>
      </c>
      <c r="H195" s="22"/>
      <c r="I195" s="44"/>
      <c r="J195" s="44"/>
      <c r="K195" s="44"/>
      <c r="L195" s="44"/>
      <c r="M195" s="44"/>
      <c r="N195" s="22"/>
      <c r="O195" s="22"/>
      <c r="P195" s="22"/>
      <c r="Q195" s="22"/>
      <c r="R195" s="22"/>
      <c r="S195" s="33">
        <v>0</v>
      </c>
      <c r="T195" s="33">
        <v>70</v>
      </c>
      <c r="U195" s="33">
        <f t="shared" si="26"/>
        <v>0</v>
      </c>
      <c r="V195" s="34">
        <f t="shared" si="24"/>
        <v>1</v>
      </c>
    </row>
    <row r="196" s="7" customFormat="1" ht="73" customHeight="1" spans="1:22">
      <c r="A196" s="22">
        <v>107</v>
      </c>
      <c r="B196" s="22" t="s">
        <v>389</v>
      </c>
      <c r="C196" s="22" t="s">
        <v>390</v>
      </c>
      <c r="D196" s="25" t="s">
        <v>391</v>
      </c>
      <c r="E196" s="43">
        <f t="shared" si="28"/>
        <v>70</v>
      </c>
      <c r="F196" s="43">
        <f t="shared" si="30"/>
        <v>70</v>
      </c>
      <c r="G196" s="22">
        <v>70</v>
      </c>
      <c r="H196" s="22"/>
      <c r="I196" s="44"/>
      <c r="J196" s="44"/>
      <c r="K196" s="44"/>
      <c r="L196" s="44"/>
      <c r="M196" s="44"/>
      <c r="N196" s="22"/>
      <c r="O196" s="22"/>
      <c r="P196" s="22"/>
      <c r="Q196" s="22"/>
      <c r="R196" s="22" t="s">
        <v>194</v>
      </c>
      <c r="S196" s="33"/>
      <c r="T196" s="33">
        <v>70</v>
      </c>
      <c r="U196" s="33">
        <f t="shared" si="26"/>
        <v>0</v>
      </c>
      <c r="V196" s="34">
        <f t="shared" si="24"/>
        <v>1</v>
      </c>
    </row>
  </sheetData>
  <mergeCells count="18">
    <mergeCell ref="A1:V1"/>
    <mergeCell ref="E2:Q2"/>
    <mergeCell ref="F3:M3"/>
    <mergeCell ref="A5:C5"/>
    <mergeCell ref="A2:A4"/>
    <mergeCell ref="B2:B4"/>
    <mergeCell ref="C2:C4"/>
    <mergeCell ref="D2:D4"/>
    <mergeCell ref="E3:E4"/>
    <mergeCell ref="N3:N4"/>
    <mergeCell ref="O3:O4"/>
    <mergeCell ref="P3:P4"/>
    <mergeCell ref="Q3:Q4"/>
    <mergeCell ref="R2:R4"/>
    <mergeCell ref="S2:S4"/>
    <mergeCell ref="T2:T4"/>
    <mergeCell ref="U2:U4"/>
    <mergeCell ref="V2:V4"/>
  </mergeCells>
  <printOptions horizontalCentered="1"/>
  <pageMargins left="0.196527777777778" right="0.196527777777778" top="0.118055555555556" bottom="0.275" header="0.156944444444444" footer="0.236111111111111"/>
  <pageSetup paperSize="9" scale="21" orientation="landscape" horizontalDpi="600"/>
  <headerFooter/>
  <rowBreaks count="1" manualBreakCount="1">
    <brk id="20" max="2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11月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kshl</dc:creator>
  <cp:lastModifiedBy>ZFB</cp:lastModifiedBy>
  <dcterms:created xsi:type="dcterms:W3CDTF">2018-06-03T11:18:00Z</dcterms:created>
  <cp:lastPrinted>2019-09-05T12:47:00Z</cp:lastPrinted>
  <dcterms:modified xsi:type="dcterms:W3CDTF">2026-02-24T03:09:02Z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KSOReadingLayout">
    <vt:bool>false</vt:bool>
  </property>
  <property fmtid="{D5CDD505-2E9C-101B-9397-08002B2CF9AE}" pid="4" name="ICV">
    <vt:lpwstr>6D2397A11CFF490D80B9825CD5112B6B</vt:lpwstr>
  </property>
</Properties>
</file>