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1942" windowHeight="10045" tabRatio="722"/>
  </bookViews>
  <sheets>
    <sheet name="Sheet1" sheetId="29" r:id="rId1"/>
  </sheets>
  <definedNames>
    <definedName name="_xlnm._FilterDatabase" localSheetId="0" hidden="1">Sheet1!$A$4:$AH$99</definedName>
    <definedName name="_xlnm.Print_Area" localSheetId="0">Sheet1!$A$1:$AH$99</definedName>
    <definedName name="_xlnm.Print_Titles" localSheetId="0">Sheet1!$1:$4</definedName>
  </definedNames>
  <calcPr calcId="144525"/>
</workbook>
</file>

<file path=xl/sharedStrings.xml><?xml version="1.0" encoding="utf-8"?>
<sst xmlns="http://schemas.openxmlformats.org/spreadsheetml/2006/main" count="314" uniqueCount="225">
  <si>
    <t>伽师县2026年第一批巩固拓展脱贫攻坚成果同乡村振兴有效衔接项目资金使用情况表</t>
  </si>
  <si>
    <t>序号</t>
  </si>
  <si>
    <t>项目名称</t>
  </si>
  <si>
    <t>实施地点</t>
  </si>
  <si>
    <t>资金规模及来源</t>
  </si>
  <si>
    <t>项目主管
部门</t>
  </si>
  <si>
    <t>1月支付</t>
  </si>
  <si>
    <t>支付率</t>
  </si>
  <si>
    <t>2月支付</t>
  </si>
  <si>
    <t>1-2月累计支付</t>
  </si>
  <si>
    <t>3月支付</t>
  </si>
  <si>
    <t>1-3月累计支付</t>
  </si>
  <si>
    <t>4月支付</t>
  </si>
  <si>
    <t>1-4月累计支付</t>
  </si>
  <si>
    <t>5月支付</t>
  </si>
  <si>
    <t>1-5月累计支付</t>
  </si>
  <si>
    <t>6月支付</t>
  </si>
  <si>
    <t>1-6月累计支付</t>
  </si>
  <si>
    <t>合计</t>
  </si>
  <si>
    <t>财政衔接资金</t>
  </si>
  <si>
    <t>其他涉农
整合资金</t>
  </si>
  <si>
    <t>地方政府
债券资金</t>
  </si>
  <si>
    <t>地县资金</t>
  </si>
  <si>
    <t>其他资金</t>
  </si>
  <si>
    <t>小计</t>
  </si>
  <si>
    <t>中央</t>
  </si>
  <si>
    <t>自治区</t>
  </si>
  <si>
    <t>以工
代赈</t>
  </si>
  <si>
    <t>少数
民族
发展</t>
  </si>
  <si>
    <t>欠发达
国有
农场</t>
  </si>
  <si>
    <t>欠发达
国有
林场</t>
  </si>
  <si>
    <t>欠发达
国有
牧场</t>
  </si>
  <si>
    <t>一</t>
  </si>
  <si>
    <t>产业增收</t>
  </si>
  <si>
    <t>伽师县林果业有机绿色发展项目</t>
  </si>
  <si>
    <t>一、新梅292个村
1、英买里镇20个村：1村、2村、3村、4村、5村、6村、7村、8村、9村、10村、11村、12村、13村、14村、15村、16村、17村、18村、19村、20村。
2、居仁镇27个村。1村、2村、3村、4村、5村、6村、和伽社区、富伽社区、兴伽社区、安伽社区、杏花园社区、12村、13村、14村、15村、16村、17村、18村、19村、20村、21村、22村、23村、24村、25村、26村、27村。
3、卧里托格拉克镇27个村：1村，2村、3村、4村，5村、6村、7村，8村、9村、10村、11村，12村、13村、14村、15村、16村、17村、18村、19村、21村、22村、23村、24村、25村、26村、27村、28村
4、克孜勒博依镇28个村：2村、3村、5村、6村、8村、9村、10村、12村、13村、14村、15村、16村、17村、18村、19村、20村、21村、22村、23村、24村、25村、26村、27村、28村、29村、31村、32村、33村。
5、米夏乡21个村：1村、2村、3村、4村、5村、6村、7村、8村、9村、10村、11村、12村、13村、14村、15村、16村、17村、18村、19村、20村、21村。
6、夏普吐勒镇24个村：1村、2村、3村、4村、5村、6村、7村、8村、9村、10村、11村、12村、13村、14村、15村、16村、17村、18村、19村、20村、21村、22村、23村、24村。
7、和夏阿瓦提镇34个村：1村、2村、3村、4村、5村、6村、7村、8村、9村、10村、11村、12村、13村、14村、15村、16村、17村、18村、19村、20村、21村、22村、23村、24村、25村、26村、27村、28村、29村、30村、31村、32村、33村、34村。
8、克孜勒苏乡36个村：1村、2村、3村、4村、5村、6村、7村、8村、9村、10村、11村、12村、13村、14村、15村、16村、17村、18村、19村、20村、21村、22村、23村、24村、25村、26村、30村、32村、33村、34村、35村、36村、37村、38村、39村、40村。
9、古勒鲁克乡新梅22个村：1村、3村、4村、5村、6村、7村、8村、9村、10村、11村、12村、13村、15村、16村、17村、18村、19村、20村、21村、22村、23村、24村。
10、玉代克力克乡11个村：1村、2村、3村、4村、5村、6村、7村、8村、9村、10村、11村。
11、铁日木乡12个村：1村、2村、3村、4村、5村、6村、7村、8村、9村、10村、11村、12村。
12、巴仁镇8个村：1村、3村、4村、5村、6村、7村、8村、9村。
13、西克尔库勒镇21个村：1村，2村，3村，4村，5村，6村，7村，8村，9村，10村，11村，13村，15村，17村，19村，21村，22村，23村，25村，26村，28村。
二、杏李50个村
1、居仁镇11个村：3村、4村、5村、15村、16村、20村、22村、23村、24村、25村、26村。
2、克孜勒博依镇10个村：2村、3村、9村、13村、14村20村、22村、24村、28村、33村。
3、夏普吐勒镇3个村：11村，13村，19村。
4、克孜勒苏乡17个村：3村、5村、6村、9村、11村、15村、16村、21村、22村、23村、24村、25村、32村、33村、34村、35村、38村。
5、铁日木乡7个村：1村、2村、3村、4村、9村、11村、12村。
6、巴仁镇2个村：8村、9村。
7、西克尔库勒镇1个村：1村
三、石榴12个村
玉代克力克乡12个村：1村、2村、3村、4村、5村、6村、7村、8村、9村、10村、11村、12村</t>
  </si>
  <si>
    <t>林草局、项目涉及乡镇</t>
  </si>
  <si>
    <t>伽师县2026年特色林果病虫害防治项目</t>
  </si>
  <si>
    <t>伽师县甜菜种植补助项目</t>
  </si>
  <si>
    <t>12个乡镇273个村</t>
  </si>
  <si>
    <t>农业农村局、项目涉及乡镇</t>
  </si>
  <si>
    <t>伽师县伽师瓜绿色种植补助项目</t>
  </si>
  <si>
    <t>12个乡镇263个村</t>
  </si>
  <si>
    <t>伽师县小额贷款贴息项目</t>
  </si>
  <si>
    <t>13个乡镇310个村</t>
  </si>
  <si>
    <t>财政局</t>
  </si>
  <si>
    <t>伽师县居仁镇扶贫厂房改造提升项目</t>
  </si>
  <si>
    <t>居仁镇26村</t>
  </si>
  <si>
    <t>居仁镇人民政府</t>
  </si>
  <si>
    <t>伽师县克孜勒苏乡巴什奥塔格（39）村就业创业基地建设项目</t>
  </si>
  <si>
    <t>克孜勒苏乡古里巴什（18）村</t>
  </si>
  <si>
    <t>克孜勒苏乡人民政府</t>
  </si>
  <si>
    <t>伽师县玉代克力克乡小微产业园改造提升项目</t>
  </si>
  <si>
    <t>玉代克力克乡巴扎（5）村</t>
  </si>
  <si>
    <t>玉代克力克乡人民政府</t>
  </si>
  <si>
    <t xml:space="preserve">伽师县克孜勒苏乡小微产业园基础设施改造提升建设项目
</t>
  </si>
  <si>
    <t>克孜勒苏乡12村</t>
  </si>
  <si>
    <t>伽师县和夏阿瓦提镇2026年小微产业园附属配套设施建设项目</t>
  </si>
  <si>
    <t>和夏阿瓦提镇19村</t>
  </si>
  <si>
    <t>和夏阿瓦提镇人民政府</t>
  </si>
  <si>
    <t>伽师县居仁镇壮大易地搬迁点村集体经济项目</t>
  </si>
  <si>
    <t>居仁镇杏花园社区</t>
  </si>
  <si>
    <t>伽师县2026年英买里镇一二三产融合发展养殖项目产业配套电力设施</t>
  </si>
  <si>
    <t>英买里镇巴格托格拉克（4）村</t>
  </si>
  <si>
    <t>英买里镇人民政府</t>
  </si>
  <si>
    <t>伽师县2026年英买里镇一二三产融合发展养殖项目产业配套通路设施</t>
  </si>
  <si>
    <t>伽师县克孜勒博依镇肉牛养殖基地建设项目产业配套道路设施</t>
  </si>
  <si>
    <t>克孜勒博依镇16村</t>
  </si>
  <si>
    <t>克孜勒博依镇人民政府</t>
  </si>
  <si>
    <t>伽师县2026年玉代克力克乡产业路建设项目</t>
  </si>
  <si>
    <t>玉代克力克乡4个村：1村、9村、10村、11村。</t>
  </si>
  <si>
    <t>交通局</t>
  </si>
  <si>
    <t>伽师县2026年夏普吐勒镇（18）村产业路建设项目</t>
  </si>
  <si>
    <t>夏普吐勒镇（18）村</t>
  </si>
  <si>
    <t>伽师县2026年农村特色产业道路建设项目</t>
  </si>
  <si>
    <t>1、卧里托格拉克镇3个村：8村、12村、26村。
2、克孜勒博依乡1个村：1村。
3、克孜勒苏乡10个村：5村、15村、18村、20村、21村、22村、23村、24村、25村、26村。
4、古勒鲁克乡1个村：10村。
5、巴仁镇2个村：1村、5村。</t>
  </si>
  <si>
    <t>伽师县2026年产业路建设项目（一期）</t>
  </si>
  <si>
    <t xml:space="preserve">1、英买里镇1个村：20村。
2、居仁镇1个村：14村。
3、卧里托格拉克镇3个村：21村、23村、24村。
4、克孜勒博依镇1个村：17村。
5、米夏乡1个村：4村。
6、夏普吐勒镇4个村：:3村、6村、11村、16村。
7、克孜勒苏乡9个村：1村、2村、6村、20村、22村、11村、25村、30村、32村。                                                                                                                                                                                                                                                                             </t>
  </si>
  <si>
    <t>伽师县卧里托格拉克镇商铺建设项目</t>
  </si>
  <si>
    <t>卧里托格拉克镇销尔介乃克（18）村</t>
  </si>
  <si>
    <t>卧里托格拉克镇人民政府</t>
  </si>
  <si>
    <t>伽师县克孜勒博依镇商铺建设项目</t>
  </si>
  <si>
    <t>克孜勒博依镇先拜巴扎（1）村</t>
  </si>
  <si>
    <t>伽师县克孜勒博依镇阿亚格乔拉克（17）村就业创业基地建设项目</t>
  </si>
  <si>
    <t>克孜勒博依镇阿亚格乔拉克（17）村</t>
  </si>
  <si>
    <t>伽师县米夏乡英巴格(12)村冷库建设项目</t>
  </si>
  <si>
    <t>米夏乡英巴格(12)村</t>
  </si>
  <si>
    <t>米夏乡人民政府</t>
  </si>
  <si>
    <t>伽师县和夏阿瓦提镇商铺建设项目</t>
  </si>
  <si>
    <t>和夏阿瓦提镇夏合亚迪（14）村</t>
  </si>
  <si>
    <t>伽师县克孜勒苏乡就业创业基地建设项目</t>
  </si>
  <si>
    <t>伽师县克孜勒苏乡瓜果冷藏保鲜库建设项目</t>
  </si>
  <si>
    <t>克孜勒苏乡巴什勒格勒德玛（5）村</t>
  </si>
  <si>
    <t>伽师县古勒鲁克乡商铺建设项目</t>
  </si>
  <si>
    <t>古勒鲁克乡喀日木库木（11）村、科克塔勒（19）村</t>
  </si>
  <si>
    <t>古勒鲁克乡人民政府</t>
  </si>
  <si>
    <t>伽师县巴仁镇物流仓储建设项目</t>
  </si>
  <si>
    <t>巴仁镇托万巴仁（9）村</t>
  </si>
  <si>
    <t>巴仁镇人民政府</t>
  </si>
  <si>
    <t>伽师县铁日木乡2026年产业配套项目</t>
  </si>
  <si>
    <t>铁日木乡阿亚格兰干（10）村、恰央恰克提（9）村、霍加艾日克（2）村</t>
  </si>
  <si>
    <t>水利局</t>
  </si>
  <si>
    <t>伽师县铁日木乡阿亚格铁日木（5）村产业配套项目</t>
  </si>
  <si>
    <t>铁日木乡阿亚格铁日木（5）村</t>
  </si>
  <si>
    <t>铁日木乡人民政府</t>
  </si>
  <si>
    <t>伽师县英买里镇2026年美丽宜居村防渗渠建设项目</t>
  </si>
  <si>
    <t>英买里镇2个村：8村、15村</t>
  </si>
  <si>
    <t>伽师县英买里镇2026年美丽宜居村产业路建设项目</t>
  </si>
  <si>
    <t>伽师县夏普吐勒镇2026年美丽宜居村壮大村集体经济建设项目</t>
  </si>
  <si>
    <t>夏普吐勒镇恰依拉（19）村</t>
  </si>
  <si>
    <t>夏普吐勒镇人民政府</t>
  </si>
  <si>
    <t>伽师县夏普吐勒镇2026年美丽宜居村防渗渠建设项目</t>
  </si>
  <si>
    <t>夏普吐勒镇14村、19村</t>
  </si>
  <si>
    <t>伽师县米夏乡2026年英巴格（12）村产业配套项目</t>
  </si>
  <si>
    <t>米夏乡英巴格（12）村</t>
  </si>
  <si>
    <t>伽师县夏普吐勒镇巴扎（1）村产业配套项目</t>
  </si>
  <si>
    <t>夏普吐勒镇巴扎（1）村</t>
  </si>
  <si>
    <t>伽师县和夏阿瓦提镇幸福（33）村产业配套项目</t>
  </si>
  <si>
    <t>和夏阿瓦提镇幸福（33）村</t>
  </si>
  <si>
    <t>伽师县克孜勒苏乡兰干买里斯（10）村产业配套项目</t>
  </si>
  <si>
    <t>克孜勒苏乡10村</t>
  </si>
  <si>
    <t>伽师县玉代克力克乡英艾日克（12）村2026年产业配套项目</t>
  </si>
  <si>
    <t>玉代克力克乡英艾日克（12）村</t>
  </si>
  <si>
    <t>伽师县古勒鲁克乡巴什古勒鲁克村2026年产业配套项目</t>
  </si>
  <si>
    <t>古勒鲁克乡巴什古勒鲁克（1）村</t>
  </si>
  <si>
    <t>伽师县英买里镇英阿瓦提（17）村产业配套项目</t>
  </si>
  <si>
    <t>英买里镇英阿瓦提（17）村</t>
  </si>
  <si>
    <t>伽师县克孜勒博依镇色满（23）村、浩罕（24）村产业配套项目</t>
  </si>
  <si>
    <t>克孜勒博依镇23村、24村</t>
  </si>
  <si>
    <t>伽师县古勒鲁克乡巴什阿勒克库勒（9）村产业配套项目</t>
  </si>
  <si>
    <t>古勒鲁克乡9村</t>
  </si>
  <si>
    <t>伽师县玉代克力克乡堂来恰普提（1）村产业配套项目</t>
  </si>
  <si>
    <t>玉代克力克乡堂来恰普提（1）村</t>
  </si>
  <si>
    <t>伽师县西克尔库勒镇希望村2026年产业基础设施配套项目</t>
  </si>
  <si>
    <t>西克尔库勒镇希望(23)村</t>
  </si>
  <si>
    <t>伽师县居仁镇吐格曼贝西（18）村产业配套项目</t>
  </si>
  <si>
    <t>居仁镇吐格曼贝西（18）村</t>
  </si>
  <si>
    <t>伽师县卧里托格拉克镇英巴格（6）村产业配套项目</t>
  </si>
  <si>
    <t>卧里托格拉克镇英巴格（6）村</t>
  </si>
  <si>
    <t>伽师县西克尔库勒镇多来提巴格（4）村、阿吉勒格里克(18)村产业配套项目</t>
  </si>
  <si>
    <t>西克尔库勒镇多来提巴格（4）村、阿吉勒格里克(18)村</t>
  </si>
  <si>
    <t>西克尔库勒镇人民政府</t>
  </si>
  <si>
    <t>伽师县2026年居仁镇、西克尔库勒镇产业路建设项目</t>
  </si>
  <si>
    <t>1、西克尔库勒镇1个村：6村。                                                                                                                                          2、居仁镇2个村：2村、10村。</t>
  </si>
  <si>
    <t>伽师县铁日木乡托哈艾热克（3）村2026年产业配套项目</t>
  </si>
  <si>
    <t>铁日木乡托哈艾热克（3）村</t>
  </si>
  <si>
    <t>二</t>
  </si>
  <si>
    <t>就业增收</t>
  </si>
  <si>
    <t>伽师县2026年公益性岗位补助项目</t>
  </si>
  <si>
    <t>各乡镇</t>
  </si>
  <si>
    <t>伽师县2026年农村道路管护人员补助项目</t>
  </si>
  <si>
    <t>伽师县脱贫劳动力（含监测户）一次性交通补助项目</t>
  </si>
  <si>
    <t>三</t>
  </si>
  <si>
    <t>乡村建设</t>
  </si>
  <si>
    <t>伽师县米夏乡污水管网配套设施建设项目</t>
  </si>
  <si>
    <t>米夏乡3个村：1村、2村、13村。</t>
  </si>
  <si>
    <t>伽师县居仁镇江巴孜（1）村排水建设项目</t>
  </si>
  <si>
    <t>居仁镇1村</t>
  </si>
  <si>
    <t>伽师县居仁镇2026年入户路硬化项目</t>
  </si>
  <si>
    <t>居仁镇4个村：4村、5村、6村、7村</t>
  </si>
  <si>
    <t>伽师县居仁镇2026年农村道路加宽项目</t>
  </si>
  <si>
    <t>居仁镇14村、26村、27村</t>
  </si>
  <si>
    <t>伽师县米夏乡农村污水处理项目</t>
  </si>
  <si>
    <t>米夏乡19村</t>
  </si>
  <si>
    <t>伽师县居仁镇易地扶贫搬迁安置点污水处理建设项目</t>
  </si>
  <si>
    <t>伽师县卧里托格拉克镇2026年农村道路加宽项目</t>
  </si>
  <si>
    <t>卧里托格拉克镇4个村：13村、17村、18村、28村</t>
  </si>
  <si>
    <t>伽师县克孜勒博依镇阿热买里（4）村等入户路建设项目</t>
  </si>
  <si>
    <t>克孜勒博依镇4村、11村、16村、25村、27村、30村、31村</t>
  </si>
  <si>
    <t>伽师县米夏乡2026年入户路建设项目</t>
  </si>
  <si>
    <t>米夏乡20个村：1村、2村、3村、4村、6村、7村、8村、9村、10村、11村、12村、13村、14、15村、16村、17村、18村、19村、20村、21村</t>
  </si>
  <si>
    <t>伽师县和夏阿瓦提镇2026年入户路建设项目</t>
  </si>
  <si>
    <t>和夏阿瓦提镇6个村：2村、3村、4村、6村、9村、10村。</t>
  </si>
  <si>
    <t>伽师县克孜勒苏乡农村道路加宽项目</t>
  </si>
  <si>
    <t>伽师县古勒鲁克乡2026年入户路建设项目</t>
  </si>
  <si>
    <t>古勒鲁克乡9个村：14村、15村、16村、17村、18村、19村、20村、21村、24村</t>
  </si>
  <si>
    <t>伽师县玉代克力克乡2026年入户路硬化项目</t>
  </si>
  <si>
    <t>玉代克力克乡4个村：5村、7村、8村、9村</t>
  </si>
  <si>
    <t>伽师县铁日木乡2026年入户路建设项目</t>
  </si>
  <si>
    <t>铁日木乡12个村：1村、2村、3村、4村、5村、6村、7村、8村、9村、10村、11村、12村</t>
  </si>
  <si>
    <t>伽师县铁日木乡2026年道路加宽建设项目</t>
  </si>
  <si>
    <t>铁日木乡1村、2村、3村、6村、8村、9村、10村</t>
  </si>
  <si>
    <t>伽师县西克尔库勒镇2026年入户路建设项目</t>
  </si>
  <si>
    <t>西克尔库勒镇28个村</t>
  </si>
  <si>
    <t>伽师县卧里托格拉克镇入户路硬化项目</t>
  </si>
  <si>
    <t>卧里托格拉克镇8个村：11村、13村、14村、17村、21村、22村、24村、27村</t>
  </si>
  <si>
    <t>伽师县克孜勒苏乡2026年入户路建设项目</t>
  </si>
  <si>
    <t>克孜勒苏乡7个村：1村、2村、3村、5村、6村、7村、8村</t>
  </si>
  <si>
    <t>伽师县英买里镇2026年美丽宜居村农村道路加宽项目</t>
  </si>
  <si>
    <t>伽师县英买里镇2026年美丽宜居村入户路建设项目</t>
  </si>
  <si>
    <t>伽师县英买里镇2026年美丽宜居村污水处理项目</t>
  </si>
  <si>
    <t>英买里镇3个村：3村、8村、15村</t>
  </si>
  <si>
    <t>伽师县夏普吐勒镇2026年美丽宜居村桥涵建设项目</t>
  </si>
  <si>
    <t>夏普吐勒镇喀赞库勒（14）村</t>
  </si>
  <si>
    <t>伽师县夏普吐勒镇2026年美丽宜居村人行辅道建设项目</t>
  </si>
  <si>
    <t>夏普吐勒镇2个村：喀赞库勒（14）村恰依拉（19）村</t>
  </si>
  <si>
    <t>伽师县夏普吐勒镇2026年美丽宜居村污水处理项目</t>
  </si>
  <si>
    <t>伽师县卧里托格拉克镇2026年托格热克斯木（4）村乡村道路以工代赈项目</t>
  </si>
  <si>
    <t>卧里托格拉克镇托格热克斯木（4）村</t>
  </si>
  <si>
    <t>发改委</t>
  </si>
  <si>
    <t>伽师县英买里镇2026年入户路建设以工代赈项目</t>
  </si>
  <si>
    <t>英买里镇3个村：英买里（10）村、库木艾日克（1）村、吐孜鲁克村（9）村</t>
  </si>
  <si>
    <t>伽师县克孜勒苏乡2026年度入户路以工代赈项目</t>
  </si>
  <si>
    <t>克孜勒苏乡5个村：夏勒艾日克（21）村、巴格艾日克（22）村、阿克艾日克（23）村、温塔木（24）村、拜什塔木（26）村</t>
  </si>
  <si>
    <t>伽师县卧里托格拉克镇托格热克斯木（4）村2026年生产道路以工代赈项目</t>
  </si>
  <si>
    <t>伽师县卧里托格拉克镇托格热克斯木（4）村2026年防渗渠以工代赈项目</t>
  </si>
  <si>
    <t>伽师县居仁镇2026年琼江巴孜（25）村等5个村入户路硬化项目</t>
  </si>
  <si>
    <t>居仁镇5个</t>
  </si>
  <si>
    <t>伽师县和夏阿瓦提镇2026年入户路硬化项目</t>
  </si>
  <si>
    <t>和夏阿瓦提镇6个村</t>
  </si>
  <si>
    <t>伽师县卧里托格拉克镇2026年入户路硬化项目</t>
  </si>
  <si>
    <t>卧里托格拉克镇11个村</t>
  </si>
  <si>
    <t>伽师县克孜勒博依镇英买里（16）村等入户路建设项目</t>
  </si>
  <si>
    <t>克孜勒博依镇6个村</t>
  </si>
  <si>
    <t>四</t>
  </si>
  <si>
    <t>项目管理费</t>
  </si>
  <si>
    <t>伽师县2026年项目服务</t>
  </si>
  <si>
    <t>农业农村局</t>
  </si>
  <si>
    <t>五</t>
  </si>
  <si>
    <t>其他</t>
  </si>
  <si>
    <t>伽师县“健康饮茶”“送茶入户”项目</t>
  </si>
  <si>
    <t>统战部</t>
  </si>
  <si>
    <t>六</t>
  </si>
  <si>
    <t>易地搬迁后扶</t>
  </si>
  <si>
    <t>伽师县易地扶贫地方政府债券贴息补助项目</t>
  </si>
</sst>
</file>

<file path=xl/styles.xml><?xml version="1.0" encoding="utf-8"?>
<styleSheet xmlns="http://schemas.openxmlformats.org/spreadsheetml/2006/main">
  <numFmts count="8">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 numFmtId="176" formatCode="0.0_ "/>
    <numFmt numFmtId="177" formatCode="0.0000_ "/>
    <numFmt numFmtId="178" formatCode="0.00_ "/>
    <numFmt numFmtId="179" formatCode="0.000000_ "/>
  </numFmts>
  <fonts count="35">
    <font>
      <sz val="11"/>
      <color theme="1"/>
      <name val="宋体"/>
      <charset val="134"/>
      <scheme val="minor"/>
    </font>
    <font>
      <sz val="18"/>
      <color theme="1"/>
      <name val="黑体"/>
      <charset val="134"/>
    </font>
    <font>
      <sz val="20"/>
      <color theme="1"/>
      <name val="黑体"/>
      <charset val="134"/>
    </font>
    <font>
      <sz val="20"/>
      <color theme="1"/>
      <name val="宋体"/>
      <charset val="134"/>
      <scheme val="minor"/>
    </font>
    <font>
      <sz val="11"/>
      <name val="宋体"/>
      <charset val="134"/>
      <scheme val="minor"/>
    </font>
    <font>
      <sz val="48"/>
      <name val="方正小标宋_GBK"/>
      <charset val="134"/>
    </font>
    <font>
      <sz val="18"/>
      <name val="黑体"/>
      <charset val="134"/>
    </font>
    <font>
      <sz val="22"/>
      <name val="黑体"/>
      <charset val="134"/>
    </font>
    <font>
      <sz val="20"/>
      <name val="宋体"/>
      <charset val="134"/>
    </font>
    <font>
      <sz val="20"/>
      <name val="宋体"/>
      <charset val="134"/>
      <scheme val="minor"/>
    </font>
    <font>
      <sz val="22"/>
      <name val="宋体"/>
      <charset val="134"/>
    </font>
    <font>
      <sz val="20"/>
      <name val="黑体"/>
      <charset val="134"/>
    </font>
    <font>
      <sz val="11"/>
      <color theme="1"/>
      <name val="宋体"/>
      <charset val="0"/>
      <scheme val="minor"/>
    </font>
    <font>
      <sz val="11"/>
      <color rgb="FF006100"/>
      <name val="宋体"/>
      <charset val="0"/>
      <scheme val="minor"/>
    </font>
    <font>
      <sz val="11"/>
      <color theme="0"/>
      <name val="宋体"/>
      <charset val="0"/>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6500"/>
      <name val="宋体"/>
      <charset val="0"/>
      <scheme val="minor"/>
    </font>
    <font>
      <sz val="11"/>
      <color rgb="FFFA7D00"/>
      <name val="宋体"/>
      <charset val="0"/>
      <scheme val="minor"/>
    </font>
    <font>
      <b/>
      <sz val="11"/>
      <color rgb="FF3F3F3F"/>
      <name val="宋体"/>
      <charset val="0"/>
      <scheme val="minor"/>
    </font>
    <font>
      <sz val="11"/>
      <color indexed="8"/>
      <name val="宋体"/>
      <charset val="134"/>
    </font>
    <font>
      <sz val="12"/>
      <name val="宋体"/>
      <charset val="134"/>
    </font>
    <font>
      <b/>
      <sz val="11"/>
      <color rgb="FFFFFFFF"/>
      <name val="宋体"/>
      <charset val="0"/>
      <scheme val="minor"/>
    </font>
    <font>
      <sz val="11"/>
      <color rgb="FF3F3F76"/>
      <name val="宋体"/>
      <charset val="0"/>
      <scheme val="minor"/>
    </font>
    <font>
      <sz val="11"/>
      <name val="宋体"/>
      <charset val="134"/>
    </font>
    <font>
      <sz val="11"/>
      <color rgb="FF9C0006"/>
      <name val="宋体"/>
      <charset val="0"/>
      <scheme val="minor"/>
    </font>
    <font>
      <b/>
      <sz val="11"/>
      <color rgb="FFFA7D00"/>
      <name val="宋体"/>
      <charset val="0"/>
      <scheme val="minor"/>
    </font>
    <font>
      <b/>
      <sz val="13"/>
      <color theme="3"/>
      <name val="宋体"/>
      <charset val="134"/>
      <scheme val="minor"/>
    </font>
    <font>
      <sz val="11"/>
      <color rgb="FFFF0000"/>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0"/>
      <name val="宋体"/>
      <charset val="134"/>
    </font>
  </fonts>
  <fills count="33">
    <fill>
      <patternFill patternType="none"/>
    </fill>
    <fill>
      <patternFill patternType="gray125"/>
    </fill>
    <fill>
      <patternFill patternType="solid">
        <fgColor theme="7" tint="0.799981688894314"/>
        <bgColor indexed="64"/>
      </patternFill>
    </fill>
    <fill>
      <patternFill patternType="solid">
        <fgColor rgb="FFC6EFCE"/>
        <bgColor indexed="64"/>
      </patternFill>
    </fill>
    <fill>
      <patternFill patternType="solid">
        <fgColor theme="5"/>
        <bgColor indexed="64"/>
      </patternFill>
    </fill>
    <fill>
      <patternFill patternType="solid">
        <fgColor theme="6"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5" tint="0.599993896298105"/>
        <bgColor indexed="64"/>
      </patternFill>
    </fill>
    <fill>
      <patternFill patternType="solid">
        <fgColor theme="5" tint="0.799981688894314"/>
        <bgColor indexed="64"/>
      </patternFill>
    </fill>
    <fill>
      <patternFill patternType="solid">
        <fgColor rgb="FFF2F2F2"/>
        <bgColor indexed="64"/>
      </patternFill>
    </fill>
    <fill>
      <patternFill patternType="solid">
        <fgColor rgb="FFA5A5A5"/>
        <bgColor indexed="64"/>
      </patternFill>
    </fill>
    <fill>
      <patternFill patternType="solid">
        <fgColor theme="4" tint="0.399975585192419"/>
        <bgColor indexed="64"/>
      </patternFill>
    </fill>
    <fill>
      <patternFill patternType="solid">
        <fgColor rgb="FFFFCC99"/>
        <bgColor indexed="64"/>
      </patternFill>
    </fill>
    <fill>
      <patternFill patternType="solid">
        <fgColor theme="6"/>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rgb="FFFFC7CE"/>
        <bgColor indexed="64"/>
      </patternFill>
    </fill>
    <fill>
      <patternFill patternType="solid">
        <fgColor theme="9"/>
        <bgColor indexed="64"/>
      </patternFill>
    </fill>
    <fill>
      <patternFill patternType="solid">
        <fgColor theme="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rgb="FFFFFFCC"/>
        <bgColor indexed="64"/>
      </patternFill>
    </fill>
    <fill>
      <patternFill patternType="solid">
        <fgColor theme="9" tint="0.399975585192419"/>
        <bgColor indexed="64"/>
      </patternFill>
    </fill>
    <fill>
      <patternFill patternType="solid">
        <fgColor theme="9" tint="0.599993896298105"/>
        <bgColor indexed="64"/>
      </patternFill>
    </fill>
    <fill>
      <patternFill patternType="solid">
        <fgColor theme="8"/>
        <bgColor indexed="64"/>
      </patternFill>
    </fill>
    <fill>
      <patternFill patternType="solid">
        <fgColor theme="4" tint="0.799981688894314"/>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s>
  <cellStyleXfs count="54">
    <xf numFmtId="0" fontId="0" fillId="0" borderId="0">
      <alignment vertical="center"/>
    </xf>
    <xf numFmtId="42" fontId="0" fillId="0" borderId="0" applyFont="0" applyFill="0" applyBorder="0" applyAlignment="0" applyProtection="0">
      <alignment vertical="center"/>
    </xf>
    <xf numFmtId="0" fontId="12" fillId="23" borderId="0" applyNumberFormat="0" applyBorder="0" applyAlignment="0" applyProtection="0">
      <alignment vertical="center"/>
    </xf>
    <xf numFmtId="0" fontId="24" fillId="15" borderId="10" applyNumberFormat="0" applyAlignment="0" applyProtection="0">
      <alignment vertical="center"/>
    </xf>
    <xf numFmtId="44" fontId="0" fillId="0" borderId="0" applyFont="0" applyFill="0" applyBorder="0" applyAlignment="0" applyProtection="0">
      <alignment vertical="center"/>
    </xf>
    <xf numFmtId="0" fontId="25" fillId="0" borderId="0"/>
    <xf numFmtId="0" fontId="21" fillId="0" borderId="0">
      <alignment vertical="center"/>
    </xf>
    <xf numFmtId="41" fontId="0" fillId="0" borderId="0" applyFont="0" applyFill="0" applyBorder="0" applyAlignment="0" applyProtection="0">
      <alignment vertical="center"/>
    </xf>
    <xf numFmtId="0" fontId="12" fillId="5" borderId="0" applyNumberFormat="0" applyBorder="0" applyAlignment="0" applyProtection="0">
      <alignment vertical="center"/>
    </xf>
    <xf numFmtId="0" fontId="26" fillId="19" borderId="0" applyNumberFormat="0" applyBorder="0" applyAlignment="0" applyProtection="0">
      <alignment vertical="center"/>
    </xf>
    <xf numFmtId="43" fontId="0" fillId="0" borderId="0" applyFont="0" applyFill="0" applyBorder="0" applyAlignment="0" applyProtection="0">
      <alignment vertical="center"/>
    </xf>
    <xf numFmtId="0" fontId="14" fillId="9" borderId="0" applyNumberFormat="0" applyBorder="0" applyAlignment="0" applyProtection="0">
      <alignment vertical="center"/>
    </xf>
    <xf numFmtId="0" fontId="33"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28" borderId="12" applyNumberFormat="0" applyFont="0" applyAlignment="0" applyProtection="0">
      <alignment vertical="center"/>
    </xf>
    <xf numFmtId="0" fontId="14" fillId="8" borderId="0" applyNumberFormat="0" applyBorder="0" applyAlignment="0" applyProtection="0">
      <alignment vertical="center"/>
    </xf>
    <xf numFmtId="0" fontId="16"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3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30" fillId="0" borderId="11" applyNumberFormat="0" applyFill="0" applyAlignment="0" applyProtection="0">
      <alignment vertical="center"/>
    </xf>
    <xf numFmtId="0" fontId="28" fillId="0" borderId="11" applyNumberFormat="0" applyFill="0" applyAlignment="0" applyProtection="0">
      <alignment vertical="center"/>
    </xf>
    <xf numFmtId="0" fontId="14" fillId="14" borderId="0" applyNumberFormat="0" applyBorder="0" applyAlignment="0" applyProtection="0">
      <alignment vertical="center"/>
    </xf>
    <xf numFmtId="0" fontId="16" fillId="0" borderId="14" applyNumberFormat="0" applyFill="0" applyAlignment="0" applyProtection="0">
      <alignment vertical="center"/>
    </xf>
    <xf numFmtId="0" fontId="14" fillId="18" borderId="0" applyNumberFormat="0" applyBorder="0" applyAlignment="0" applyProtection="0">
      <alignment vertical="center"/>
    </xf>
    <xf numFmtId="0" fontId="20" fillId="12" borderId="8" applyNumberFormat="0" applyAlignment="0" applyProtection="0">
      <alignment vertical="center"/>
    </xf>
    <xf numFmtId="0" fontId="27" fillId="12" borderId="10" applyNumberFormat="0" applyAlignment="0" applyProtection="0">
      <alignment vertical="center"/>
    </xf>
    <xf numFmtId="0" fontId="23" fillId="13" borderId="9" applyNumberFormat="0" applyAlignment="0" applyProtection="0">
      <alignment vertical="center"/>
    </xf>
    <xf numFmtId="0" fontId="12" fillId="22" borderId="0" applyNumberFormat="0" applyBorder="0" applyAlignment="0" applyProtection="0">
      <alignment vertical="center"/>
    </xf>
    <xf numFmtId="0" fontId="14" fillId="4" borderId="0" applyNumberFormat="0" applyBorder="0" applyAlignment="0" applyProtection="0">
      <alignment vertical="center"/>
    </xf>
    <xf numFmtId="0" fontId="19" fillId="0" borderId="7" applyNumberFormat="0" applyFill="0" applyAlignment="0" applyProtection="0">
      <alignment vertical="center"/>
    </xf>
    <xf numFmtId="0" fontId="31" fillId="0" borderId="13" applyNumberFormat="0" applyFill="0" applyAlignment="0" applyProtection="0">
      <alignment vertical="center"/>
    </xf>
    <xf numFmtId="0" fontId="13" fillId="3" borderId="0" applyNumberFormat="0" applyBorder="0" applyAlignment="0" applyProtection="0">
      <alignment vertical="center"/>
    </xf>
    <xf numFmtId="0" fontId="22" fillId="0" borderId="0">
      <alignment vertical="center"/>
    </xf>
    <xf numFmtId="0" fontId="18" fillId="7" borderId="0" applyNumberFormat="0" applyBorder="0" applyAlignment="0" applyProtection="0">
      <alignment vertical="center"/>
    </xf>
    <xf numFmtId="0" fontId="12" fillId="17" borderId="0" applyNumberFormat="0" applyBorder="0" applyAlignment="0" applyProtection="0">
      <alignment vertical="center"/>
    </xf>
    <xf numFmtId="0" fontId="14" fillId="21" borderId="0" applyNumberFormat="0" applyBorder="0" applyAlignment="0" applyProtection="0">
      <alignment vertical="center"/>
    </xf>
    <xf numFmtId="0" fontId="12" fillId="32" borderId="0" applyNumberFormat="0" applyBorder="0" applyAlignment="0" applyProtection="0">
      <alignment vertical="center"/>
    </xf>
    <xf numFmtId="0" fontId="12" fillId="27" borderId="0" applyNumberFormat="0" applyBorder="0" applyAlignment="0" applyProtection="0">
      <alignment vertical="center"/>
    </xf>
    <xf numFmtId="0" fontId="12" fillId="11" borderId="0" applyNumberFormat="0" applyBorder="0" applyAlignment="0" applyProtection="0">
      <alignment vertical="center"/>
    </xf>
    <xf numFmtId="0" fontId="12" fillId="10" borderId="0" applyNumberFormat="0" applyBorder="0" applyAlignment="0" applyProtection="0">
      <alignment vertical="center"/>
    </xf>
    <xf numFmtId="0" fontId="14" fillId="16" borderId="0" applyNumberFormat="0" applyBorder="0" applyAlignment="0" applyProtection="0">
      <alignment vertical="center"/>
    </xf>
    <xf numFmtId="0" fontId="14" fillId="26" borderId="0" applyNumberFormat="0" applyBorder="0" applyAlignment="0" applyProtection="0">
      <alignment vertical="center"/>
    </xf>
    <xf numFmtId="0" fontId="12" fillId="2" borderId="0" applyNumberFormat="0" applyBorder="0" applyAlignment="0" applyProtection="0">
      <alignment vertical="center"/>
    </xf>
    <xf numFmtId="0" fontId="12" fillId="6" borderId="0" applyNumberFormat="0" applyBorder="0" applyAlignment="0" applyProtection="0">
      <alignment vertical="center"/>
    </xf>
    <xf numFmtId="0" fontId="14" fillId="31" borderId="0" applyNumberFormat="0" applyBorder="0" applyAlignment="0" applyProtection="0">
      <alignment vertical="center"/>
    </xf>
    <xf numFmtId="0" fontId="12" fillId="25" borderId="0" applyNumberFormat="0" applyBorder="0" applyAlignment="0" applyProtection="0">
      <alignment vertical="center"/>
    </xf>
    <xf numFmtId="0" fontId="14" fillId="24" borderId="0" applyNumberFormat="0" applyBorder="0" applyAlignment="0" applyProtection="0">
      <alignment vertical="center"/>
    </xf>
    <xf numFmtId="0" fontId="14" fillId="20" borderId="0" applyNumberFormat="0" applyBorder="0" applyAlignment="0" applyProtection="0">
      <alignment vertical="center"/>
    </xf>
    <xf numFmtId="0" fontId="12" fillId="30" borderId="0" applyNumberFormat="0" applyBorder="0" applyAlignment="0" applyProtection="0">
      <alignment vertical="center"/>
    </xf>
    <xf numFmtId="0" fontId="14" fillId="29" borderId="0" applyNumberFormat="0" applyBorder="0" applyAlignment="0" applyProtection="0">
      <alignment vertical="center"/>
    </xf>
    <xf numFmtId="0" fontId="21" fillId="0" borderId="0"/>
    <xf numFmtId="0" fontId="34" fillId="0" borderId="0"/>
  </cellStyleXfs>
  <cellXfs count="64">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0" fillId="0" borderId="0" xfId="0" applyFill="1" applyAlignment="1">
      <alignment horizontal="center" vertical="center"/>
    </xf>
    <xf numFmtId="0" fontId="3" fillId="0" borderId="0" xfId="0" applyFont="1" applyFill="1" applyAlignment="1">
      <alignment horizontal="center" vertical="center" wrapText="1"/>
    </xf>
    <xf numFmtId="0" fontId="3" fillId="0" borderId="0" xfId="0" applyFont="1" applyFill="1" applyAlignment="1">
      <alignment horizontal="center" vertical="center"/>
    </xf>
    <xf numFmtId="0" fontId="0" fillId="0" borderId="0" xfId="0" applyFill="1">
      <alignment vertical="center"/>
    </xf>
    <xf numFmtId="0" fontId="4" fillId="0" borderId="0" xfId="0" applyFont="1" applyFill="1" applyAlignment="1">
      <alignment horizontal="center" vertical="center" wrapText="1"/>
    </xf>
    <xf numFmtId="0" fontId="4" fillId="0" borderId="0" xfId="0" applyNumberFormat="1" applyFont="1" applyFill="1" applyAlignment="1">
      <alignment horizontal="center" vertical="center"/>
    </xf>
    <xf numFmtId="0" fontId="0" fillId="0" borderId="0" xfId="0" applyNumberFormat="1" applyFill="1" applyAlignment="1">
      <alignment horizontal="center" vertical="center"/>
    </xf>
    <xf numFmtId="0" fontId="5" fillId="0" borderId="0" xfId="0" applyFont="1" applyFill="1" applyBorder="1" applyAlignment="1">
      <alignment horizontal="center" vertical="center"/>
    </xf>
    <xf numFmtId="0" fontId="5" fillId="0" borderId="0" xfId="0" applyNumberFormat="1" applyFont="1" applyFill="1" applyBorder="1" applyAlignment="1" applyProtection="1">
      <alignment horizontal="center" vertical="center"/>
      <protection locked="0"/>
    </xf>
    <xf numFmtId="0" fontId="6" fillId="0" borderId="1" xfId="0"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178" fontId="7"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178" fontId="8" fillId="0" borderId="1" xfId="0" applyNumberFormat="1" applyFont="1" applyFill="1" applyBorder="1" applyAlignment="1">
      <alignment horizontal="center" vertical="center" wrapText="1"/>
    </xf>
    <xf numFmtId="177" fontId="8"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176" fontId="11" fillId="0" borderId="1" xfId="0" applyNumberFormat="1" applyFont="1" applyFill="1" applyBorder="1" applyAlignment="1">
      <alignment horizontal="center" vertical="center" wrapText="1"/>
    </xf>
    <xf numFmtId="178" fontId="11"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178" fontId="8" fillId="0" borderId="1" xfId="0" applyNumberFormat="1" applyFont="1" applyFill="1" applyBorder="1" applyAlignment="1">
      <alignment horizontal="center" vertical="center"/>
    </xf>
    <xf numFmtId="0" fontId="8" fillId="0" borderId="1" xfId="0" applyNumberFormat="1" applyFont="1" applyFill="1" applyBorder="1" applyAlignment="1">
      <alignment horizontal="center" vertical="center"/>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xf>
    <xf numFmtId="0" fontId="11" fillId="0" borderId="1" xfId="0" applyFont="1" applyFill="1" applyBorder="1" applyAlignment="1">
      <alignment horizontal="center" vertical="center"/>
    </xf>
    <xf numFmtId="49" fontId="8" fillId="0" borderId="1" xfId="0" applyNumberFormat="1" applyFont="1" applyFill="1" applyBorder="1" applyAlignment="1">
      <alignment horizontal="left" vertical="center" wrapText="1"/>
    </xf>
    <xf numFmtId="0" fontId="8"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178" fontId="7" fillId="0" borderId="6" xfId="0" applyNumberFormat="1" applyFont="1" applyFill="1" applyBorder="1" applyAlignment="1">
      <alignment horizontal="center" vertical="center" wrapText="1"/>
    </xf>
    <xf numFmtId="10" fontId="7" fillId="0" borderId="1" xfId="0" applyNumberFormat="1" applyFont="1" applyFill="1" applyBorder="1" applyAlignment="1">
      <alignment horizontal="center" vertical="center" wrapText="1"/>
    </xf>
    <xf numFmtId="0" fontId="7" fillId="0" borderId="1" xfId="0" applyNumberFormat="1" applyFont="1" applyFill="1" applyBorder="1" applyAlignment="1">
      <alignment horizontal="center" vertical="center" wrapText="1"/>
    </xf>
    <xf numFmtId="0" fontId="5" fillId="0" borderId="0" xfId="0" applyNumberFormat="1" applyFont="1" applyFill="1" applyBorder="1" applyAlignment="1">
      <alignment horizontal="center" vertical="center"/>
    </xf>
    <xf numFmtId="0" fontId="6" fillId="0" borderId="4" xfId="0" applyNumberFormat="1" applyFont="1" applyFill="1" applyBorder="1" applyAlignment="1">
      <alignment horizontal="center" vertical="center" wrapText="1"/>
    </xf>
    <xf numFmtId="0" fontId="6" fillId="0" borderId="5"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179" fontId="7" fillId="0" borderId="6" xfId="0" applyNumberFormat="1" applyFont="1" applyFill="1" applyBorder="1" applyAlignment="1">
      <alignment horizontal="center" vertical="center" wrapText="1"/>
    </xf>
    <xf numFmtId="10" fontId="7" fillId="0" borderId="6"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1" fillId="0" borderId="1" xfId="0" applyNumberFormat="1" applyFont="1" applyFill="1" applyBorder="1" applyAlignment="1">
      <alignment horizontal="center" vertical="center"/>
    </xf>
    <xf numFmtId="178" fontId="11" fillId="0" borderId="1" xfId="0" applyNumberFormat="1" applyFont="1" applyFill="1" applyBorder="1" applyAlignment="1">
      <alignment horizontal="center" vertical="center"/>
    </xf>
    <xf numFmtId="179" fontId="11" fillId="0" borderId="1" xfId="0" applyNumberFormat="1"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0" applyFont="1" applyFill="1" applyBorder="1" applyAlignment="1">
      <alignment horizontal="left" vertical="center" wrapText="1"/>
    </xf>
    <xf numFmtId="178" fontId="8" fillId="0" borderId="4" xfId="0" applyNumberFormat="1" applyFont="1" applyFill="1" applyBorder="1" applyAlignment="1">
      <alignment horizontal="center" vertical="center" wrapText="1"/>
    </xf>
    <xf numFmtId="0" fontId="8" fillId="0" borderId="4" xfId="0" applyNumberFormat="1" applyFont="1" applyFill="1" applyBorder="1" applyAlignment="1">
      <alignment horizontal="center" vertical="center"/>
    </xf>
    <xf numFmtId="10" fontId="7" fillId="0" borderId="4" xfId="0" applyNumberFormat="1" applyFont="1" applyFill="1" applyBorder="1" applyAlignment="1">
      <alignment horizontal="center" vertical="center" wrapText="1"/>
    </xf>
    <xf numFmtId="0" fontId="7" fillId="0" borderId="4" xfId="0" applyNumberFormat="1" applyFont="1" applyFill="1" applyBorder="1" applyAlignment="1">
      <alignment horizontal="center" vertical="center" wrapText="1"/>
    </xf>
    <xf numFmtId="10" fontId="7" fillId="0" borderId="0" xfId="0" applyNumberFormat="1" applyFont="1" applyFill="1" applyBorder="1" applyAlignment="1">
      <alignment horizontal="center" vertical="center" wrapText="1"/>
    </xf>
    <xf numFmtId="0" fontId="7" fillId="0" borderId="0" xfId="0" applyNumberFormat="1" applyFont="1" applyFill="1" applyAlignment="1">
      <alignment horizontal="center" vertical="center" wrapText="1"/>
    </xf>
    <xf numFmtId="10" fontId="7" fillId="0" borderId="0" xfId="0" applyNumberFormat="1" applyFont="1" applyFill="1" applyAlignment="1">
      <alignment horizontal="center" vertical="center" wrapText="1"/>
    </xf>
    <xf numFmtId="0" fontId="0" fillId="0" borderId="0" xfId="0" applyFill="1" applyBorder="1" applyAlignment="1">
      <alignment horizontal="center" vertical="center"/>
    </xf>
  </cellXfs>
  <cellStyles count="54">
    <cellStyle name="常规" xfId="0" builtinId="0"/>
    <cellStyle name="货币[0]" xfId="1" builtinId="7"/>
    <cellStyle name="20% - 强调文字颜色 3" xfId="2" builtinId="38"/>
    <cellStyle name="输入" xfId="3" builtinId="20"/>
    <cellStyle name="货币" xfId="4" builtinId="4"/>
    <cellStyle name="常规_2020年财政预算内" xfId="5"/>
    <cellStyle name="常规 13 2" xfId="6"/>
    <cellStyle name="千位分隔[0]" xfId="7" builtinId="6"/>
    <cellStyle name="40% - 强调文字颜色 3" xfId="8" builtinId="39"/>
    <cellStyle name="差" xfId="9" builtinId="27"/>
    <cellStyle name="千位分隔" xfId="10" builtinId="3"/>
    <cellStyle name="60% - 强调文字颜色 3" xfId="11" builtinId="40"/>
    <cellStyle name="超链接" xfId="12" builtinId="8"/>
    <cellStyle name="百分比" xfId="13" builtinId="5"/>
    <cellStyle name="已访问的超链接" xfId="14" builtinId="9"/>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标题 1" xfId="21" builtinId="16"/>
    <cellStyle name="标题 2" xfId="22" builtinId="17"/>
    <cellStyle name="60% - 强调文字颜色 1" xfId="23" builtinId="32"/>
    <cellStyle name="标题 3" xfId="24" builtinId="18"/>
    <cellStyle name="60% - 强调文字颜色 4" xfId="25" builtinId="44"/>
    <cellStyle name="输出" xfId="26" builtinId="21"/>
    <cellStyle name="计算" xfId="27" builtinId="22"/>
    <cellStyle name="检查单元格" xfId="28" builtinId="23"/>
    <cellStyle name="20% - 强调文字颜色 6" xfId="29" builtinId="50"/>
    <cellStyle name="强调文字颜色 2" xfId="30" builtinId="33"/>
    <cellStyle name="链接单元格" xfId="31" builtinId="24"/>
    <cellStyle name="汇总" xfId="32" builtinId="25"/>
    <cellStyle name="好" xfId="33" builtinId="26"/>
    <cellStyle name="常规 16" xfId="34"/>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强调文字颜色 4" xfId="43" builtinId="41"/>
    <cellStyle name="20% - 强调文字颜色 4" xfId="44" builtinId="42"/>
    <cellStyle name="40% - 强调文字颜色 4" xfId="45" builtinId="43"/>
    <cellStyle name="强调文字颜色 5" xfId="46" builtinId="45"/>
    <cellStyle name="40% - 强调文字颜色 5" xfId="47" builtinId="47"/>
    <cellStyle name="60% - 强调文字颜色 5" xfId="48" builtinId="48"/>
    <cellStyle name="强调文字颜色 6" xfId="49" builtinId="49"/>
    <cellStyle name="40% - 强调文字颜色 6" xfId="50" builtinId="51"/>
    <cellStyle name="60% - 强调文字颜色 6" xfId="51" builtinId="52"/>
    <cellStyle name="常规 2 4" xfId="52"/>
    <cellStyle name="常规_sheet1" xfId="53"/>
  </cellStyles>
  <tableStyles count="0" defaultTableStyle="TableStyleMedium2"/>
  <colors>
    <mruColors>
      <color rgb="00000000"/>
      <color rgb="00FF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H106"/>
  <sheetViews>
    <sheetView tabSelected="1" zoomScale="40" zoomScaleNormal="40" workbookViewId="0">
      <pane ySplit="5" topLeftCell="A6" activePane="bottomLeft" state="frozen"/>
      <selection/>
      <selection pane="bottomLeft" activeCell="B2" sqref="B2:B4"/>
    </sheetView>
  </sheetViews>
  <sheetFormatPr defaultColWidth="7" defaultRowHeight="59" customHeight="1"/>
  <cols>
    <col min="1" max="1" width="10.6216216216216" style="4" customWidth="1"/>
    <col min="2" max="2" width="36.4414414414414" style="8" customWidth="1"/>
    <col min="3" max="3" width="10.9369369369369" style="4" customWidth="1"/>
    <col min="4" max="4" width="42.9459459459459" style="4" customWidth="1"/>
    <col min="5" max="5" width="24.0540540540541" style="4" customWidth="1"/>
    <col min="6" max="6" width="30" style="4" customWidth="1"/>
    <col min="7" max="7" width="21.5585585585586" style="4" customWidth="1"/>
    <col min="8" max="8" width="17.6216216216216" style="9" customWidth="1"/>
    <col min="9" max="9" width="20" style="9" customWidth="1"/>
    <col min="10" max="11" width="13.9459459459459" style="9" customWidth="1"/>
    <col min="12" max="12" width="15.0540540540541" style="9" customWidth="1"/>
    <col min="13" max="13" width="12.8198198198198" style="4" customWidth="1"/>
    <col min="14" max="14" width="12.1711711711712" style="4" customWidth="1"/>
    <col min="15" max="15" width="17.7747747747748" style="4" customWidth="1"/>
    <col min="16" max="16" width="12.8828828828829" style="4" customWidth="1"/>
    <col min="17" max="17" width="14.6846846846847" style="4" customWidth="1"/>
    <col min="18" max="18" width="16.8738738738739" style="4" hidden="1" customWidth="1"/>
    <col min="19" max="19" width="18.4234234234234" style="4" hidden="1" customWidth="1"/>
    <col min="20" max="22" width="21.8738738738739" style="4" hidden="1" customWidth="1"/>
    <col min="23" max="23" width="34.6846846846847" style="4" hidden="1" customWidth="1"/>
    <col min="24" max="24" width="37.8108108108108" style="4" hidden="1" customWidth="1"/>
    <col min="25" max="25" width="24.0540540540541" style="4" hidden="1" customWidth="1"/>
    <col min="26" max="26" width="34.6846846846847" style="4" hidden="1" customWidth="1"/>
    <col min="27" max="27" width="49.3783783783784" style="4" hidden="1" customWidth="1"/>
    <col min="28" max="28" width="24.0540540540541" style="4" hidden="1" customWidth="1"/>
    <col min="29" max="29" width="27.8558558558559" style="10" hidden="1" customWidth="1"/>
    <col min="30" max="30" width="49.6486486486486" style="4" hidden="1" customWidth="1"/>
    <col min="31" max="31" width="29.2792792792793" style="4" hidden="1" customWidth="1"/>
    <col min="32" max="32" width="29.2792792792793" style="10" customWidth="1"/>
    <col min="33" max="34" width="29.2792792792793" style="4" customWidth="1"/>
    <col min="35" max="16364" width="7" style="4" customWidth="1"/>
    <col min="16365" max="16384" width="7" style="4"/>
  </cols>
  <sheetData>
    <row r="1" s="4" customFormat="1" ht="93" customHeight="1" spans="1:34">
      <c r="A1" s="11" t="s">
        <v>0</v>
      </c>
      <c r="B1" s="11"/>
      <c r="C1" s="11"/>
      <c r="D1" s="11"/>
      <c r="E1" s="11"/>
      <c r="F1" s="11"/>
      <c r="G1" s="11"/>
      <c r="H1" s="12"/>
      <c r="I1" s="12"/>
      <c r="J1" s="12"/>
      <c r="K1" s="12"/>
      <c r="L1" s="12"/>
      <c r="M1" s="11"/>
      <c r="N1" s="11"/>
      <c r="O1" s="11"/>
      <c r="P1" s="11"/>
      <c r="Q1" s="11"/>
      <c r="R1" s="11"/>
      <c r="S1" s="11"/>
      <c r="T1" s="11"/>
      <c r="U1" s="11"/>
      <c r="V1" s="11"/>
      <c r="W1" s="11"/>
      <c r="X1" s="11"/>
      <c r="Y1" s="11"/>
      <c r="Z1" s="11"/>
      <c r="AA1" s="11"/>
      <c r="AB1" s="11"/>
      <c r="AC1" s="44"/>
      <c r="AD1" s="11"/>
      <c r="AE1" s="11"/>
      <c r="AF1" s="44"/>
      <c r="AG1" s="11"/>
      <c r="AH1" s="11"/>
    </row>
    <row r="2" s="1" customFormat="1" customHeight="1" spans="1:34">
      <c r="A2" s="13" t="s">
        <v>1</v>
      </c>
      <c r="B2" s="13" t="s">
        <v>2</v>
      </c>
      <c r="C2" s="13" t="s">
        <v>3</v>
      </c>
      <c r="D2" s="13" t="s">
        <v>4</v>
      </c>
      <c r="E2" s="13"/>
      <c r="F2" s="13"/>
      <c r="G2" s="13"/>
      <c r="H2" s="14"/>
      <c r="I2" s="14"/>
      <c r="J2" s="14"/>
      <c r="K2" s="14"/>
      <c r="L2" s="14"/>
      <c r="M2" s="13"/>
      <c r="N2" s="13"/>
      <c r="O2" s="13"/>
      <c r="P2" s="13"/>
      <c r="Q2" s="13" t="s">
        <v>5</v>
      </c>
      <c r="R2" s="38" t="s">
        <v>6</v>
      </c>
      <c r="S2" s="38" t="s">
        <v>7</v>
      </c>
      <c r="T2" s="38" t="s">
        <v>8</v>
      </c>
      <c r="U2" s="38" t="s">
        <v>9</v>
      </c>
      <c r="V2" s="38" t="s">
        <v>7</v>
      </c>
      <c r="W2" s="38" t="s">
        <v>10</v>
      </c>
      <c r="X2" s="38" t="s">
        <v>11</v>
      </c>
      <c r="Y2" s="38" t="s">
        <v>7</v>
      </c>
      <c r="Z2" s="38" t="s">
        <v>12</v>
      </c>
      <c r="AA2" s="38" t="s">
        <v>13</v>
      </c>
      <c r="AB2" s="38" t="s">
        <v>7</v>
      </c>
      <c r="AC2" s="45" t="s">
        <v>14</v>
      </c>
      <c r="AD2" s="38" t="s">
        <v>15</v>
      </c>
      <c r="AE2" s="38" t="s">
        <v>7</v>
      </c>
      <c r="AF2" s="45" t="s">
        <v>16</v>
      </c>
      <c r="AG2" s="38" t="s">
        <v>17</v>
      </c>
      <c r="AH2" s="38" t="s">
        <v>7</v>
      </c>
    </row>
    <row r="3" s="2" customFormat="1" ht="48" customHeight="1" spans="1:34">
      <c r="A3" s="13"/>
      <c r="B3" s="13"/>
      <c r="C3" s="13"/>
      <c r="D3" s="13" t="s">
        <v>18</v>
      </c>
      <c r="E3" s="14" t="s">
        <v>19</v>
      </c>
      <c r="F3" s="14"/>
      <c r="G3" s="14"/>
      <c r="H3" s="14"/>
      <c r="I3" s="14"/>
      <c r="J3" s="14"/>
      <c r="K3" s="14"/>
      <c r="L3" s="14"/>
      <c r="M3" s="13" t="s">
        <v>20</v>
      </c>
      <c r="N3" s="13" t="s">
        <v>21</v>
      </c>
      <c r="O3" s="13" t="s">
        <v>22</v>
      </c>
      <c r="P3" s="13" t="s">
        <v>23</v>
      </c>
      <c r="Q3" s="13"/>
      <c r="R3" s="39"/>
      <c r="S3" s="39"/>
      <c r="T3" s="39"/>
      <c r="U3" s="39"/>
      <c r="V3" s="39"/>
      <c r="W3" s="39"/>
      <c r="X3" s="39"/>
      <c r="Y3" s="39"/>
      <c r="Z3" s="39"/>
      <c r="AA3" s="39"/>
      <c r="AB3" s="39"/>
      <c r="AC3" s="46"/>
      <c r="AD3" s="39"/>
      <c r="AE3" s="39"/>
      <c r="AF3" s="46"/>
      <c r="AG3" s="39"/>
      <c r="AH3" s="39"/>
    </row>
    <row r="4" s="2" customFormat="1" ht="176" customHeight="1" spans="1:34">
      <c r="A4" s="13"/>
      <c r="B4" s="13"/>
      <c r="C4" s="13"/>
      <c r="D4" s="13"/>
      <c r="E4" s="13" t="s">
        <v>24</v>
      </c>
      <c r="F4" s="13" t="s">
        <v>25</v>
      </c>
      <c r="G4" s="14" t="s">
        <v>26</v>
      </c>
      <c r="H4" s="13" t="s">
        <v>27</v>
      </c>
      <c r="I4" s="13" t="s">
        <v>28</v>
      </c>
      <c r="J4" s="13" t="s">
        <v>29</v>
      </c>
      <c r="K4" s="13" t="s">
        <v>30</v>
      </c>
      <c r="L4" s="13" t="s">
        <v>31</v>
      </c>
      <c r="M4" s="13"/>
      <c r="N4" s="13"/>
      <c r="O4" s="13"/>
      <c r="P4" s="13"/>
      <c r="Q4" s="13"/>
      <c r="R4" s="40"/>
      <c r="S4" s="40"/>
      <c r="T4" s="40"/>
      <c r="U4" s="40"/>
      <c r="V4" s="40"/>
      <c r="W4" s="40"/>
      <c r="X4" s="40"/>
      <c r="Y4" s="40"/>
      <c r="Z4" s="40"/>
      <c r="AA4" s="40"/>
      <c r="AB4" s="40"/>
      <c r="AC4" s="47"/>
      <c r="AD4" s="40"/>
      <c r="AE4" s="40"/>
      <c r="AF4" s="47"/>
      <c r="AG4" s="40"/>
      <c r="AH4" s="40"/>
    </row>
    <row r="5" s="2" customFormat="1" ht="94" customHeight="1" spans="1:34">
      <c r="A5" s="15" t="s">
        <v>18</v>
      </c>
      <c r="B5" s="16"/>
      <c r="C5" s="17"/>
      <c r="D5" s="18">
        <v>52121</v>
      </c>
      <c r="E5" s="18">
        <v>51792</v>
      </c>
      <c r="F5" s="18">
        <v>35055.99925</v>
      </c>
      <c r="G5" s="18">
        <v>12968</v>
      </c>
      <c r="H5" s="18">
        <v>2017</v>
      </c>
      <c r="I5" s="18">
        <v>1751</v>
      </c>
      <c r="J5" s="17">
        <v>0</v>
      </c>
      <c r="K5" s="17">
        <v>0</v>
      </c>
      <c r="L5" s="17">
        <v>0</v>
      </c>
      <c r="M5" s="17">
        <v>0</v>
      </c>
      <c r="N5" s="17">
        <v>0</v>
      </c>
      <c r="O5" s="18">
        <v>329</v>
      </c>
      <c r="P5" s="18"/>
      <c r="Q5" s="18"/>
      <c r="R5" s="41">
        <v>264.35</v>
      </c>
      <c r="S5" s="41">
        <v>0.00507185210958902</v>
      </c>
      <c r="T5" s="41">
        <v>616.1</v>
      </c>
      <c r="U5" s="41">
        <v>880.45</v>
      </c>
      <c r="V5" s="41">
        <v>0.0168924236424727</v>
      </c>
      <c r="W5" s="41">
        <v>7800.65067</v>
      </c>
      <c r="X5" s="41">
        <v>8681.10067</v>
      </c>
      <c r="Y5" s="41">
        <v>0.166556681470377</v>
      </c>
      <c r="Z5" s="41">
        <v>2980.562716</v>
      </c>
      <c r="AA5" s="41">
        <v>11661.663386</v>
      </c>
      <c r="AB5" s="41">
        <v>0.223742129924725</v>
      </c>
      <c r="AC5" s="41">
        <v>10079.005642</v>
      </c>
      <c r="AD5" s="41">
        <v>21740.669028</v>
      </c>
      <c r="AE5" s="41">
        <v>0.417119190745369</v>
      </c>
      <c r="AF5" s="48">
        <v>9940.612076</v>
      </c>
      <c r="AG5" s="48">
        <v>31681.281104</v>
      </c>
      <c r="AH5" s="49">
        <v>0.607841015327426</v>
      </c>
    </row>
    <row r="6" s="3" customFormat="1" ht="93" customHeight="1" spans="1:34">
      <c r="A6" s="17" t="s">
        <v>32</v>
      </c>
      <c r="B6" s="17" t="s">
        <v>33</v>
      </c>
      <c r="C6" s="17"/>
      <c r="D6" s="18">
        <f t="shared" ref="D6:P6" si="0">D7+D8+D9+D10+D11+D12+D13+D14+D15+D16+D17+D18+D19+D20+D21+D22+D23+D24+D25+D26+D27+D28+D29+D30+D31+D32+D33+D34+D35+D36+D37+D38+D39+D40+D41+D42+D43+D44+D45+D46+D47+D48+D49+D50+D51+D52+D53+D54+D55</f>
        <v>33261.195802</v>
      </c>
      <c r="E6" s="18">
        <f t="shared" si="0"/>
        <v>33193.195802</v>
      </c>
      <c r="F6" s="18">
        <f t="shared" si="0"/>
        <v>28885.115802</v>
      </c>
      <c r="G6" s="18">
        <f t="shared" si="0"/>
        <v>2610</v>
      </c>
      <c r="H6" s="18">
        <f t="shared" si="0"/>
        <v>0</v>
      </c>
      <c r="I6" s="18">
        <f t="shared" si="0"/>
        <v>1698.08</v>
      </c>
      <c r="J6" s="18">
        <f t="shared" si="0"/>
        <v>0</v>
      </c>
      <c r="K6" s="18">
        <f t="shared" si="0"/>
        <v>0</v>
      </c>
      <c r="L6" s="18">
        <f t="shared" si="0"/>
        <v>0</v>
      </c>
      <c r="M6" s="18">
        <f t="shared" si="0"/>
        <v>0</v>
      </c>
      <c r="N6" s="18">
        <f t="shared" si="0"/>
        <v>0</v>
      </c>
      <c r="O6" s="18">
        <f t="shared" si="0"/>
        <v>68</v>
      </c>
      <c r="P6" s="18">
        <f t="shared" si="0"/>
        <v>0</v>
      </c>
      <c r="Q6" s="17"/>
      <c r="R6" s="17">
        <f>R7+R8+R9+R10+R11+R12+R13+R14+R15+R16+R17+R18+R19+R20+R21+R22+R24+R25+R26+R27+R28+R29+R30+R31+R32+R33+R34+R35+R36+R37+R38+R39+R40+R41+R42+R43+R44+R45+R46+R47+R48+R49+R50+R51+R52+R53+R23+R54+R55</f>
        <v>0</v>
      </c>
      <c r="S6" s="42">
        <f>R6/D6</f>
        <v>0</v>
      </c>
      <c r="T6" s="43">
        <f>T7+T8+T9+T10+T11+T12+T13+T14+T15+T16+T17+T18+T19+T20+T21+T22+T24+T25+T26+T27+T28+T29+T30+T31+T32+T33+T34+T35+T36+T37+T38+T39+T40+T41+T42+T43+T44+T45+T46+T47+T48+T49+T50+T51+T52+T53+T23+T54+T55</f>
        <v>0</v>
      </c>
      <c r="U6" s="43">
        <f>R6+T6</f>
        <v>0</v>
      </c>
      <c r="V6" s="42">
        <f>U6/D6</f>
        <v>0</v>
      </c>
      <c r="W6" s="43">
        <f>W7+W8+W9+W10+W11+W12+W13+W14+W15+W16+W17+W18+W19+W20+W21+W22+W24+W25+W26+W27+W28+W29+W30+W31+W32+W33+W34+W35+W36+W37+W38+W39+W40+W41+W42+W43+W44+W45+W46+W47+W48+W49+W50+W51+W52+W53+W23+W54+W55</f>
        <v>4908.547287</v>
      </c>
      <c r="X6" s="43">
        <f>X7+X8+X9+X10+X11+X12+X13+X14+X15+X16+X17+X18+X19+X20+X21+X22+X24+X25+X26+X27+X28+X29+X30+X31+X32+X33+X34+X35+X36+X37+X38+X39+X40+X41+X42+X43+X44+X45+X46+X47+X48+X49+X50+X51+X52+X53+X54+X55</f>
        <v>4908.547287</v>
      </c>
      <c r="Y6" s="42">
        <f>X6/D6</f>
        <v>0.147575791207869</v>
      </c>
      <c r="Z6" s="43">
        <f>Z7+Z8+Z9+Z10+Z11+Z12+Z13+Z14+Z15+Z16+Z17+Z18+Z19+Z20+Z21+Z22+Z24+Z25+Z26+Z27+Z28+Z29+Z30+Z31+Z32+Z33+Z34+Z35+Z36+Z37+Z38+Z39+Z40+Z41+Z42+Z43+Z44+Z45+Z46+Z47+Z48+Z49+Z50+Z51+Z52+Z53+Z23+Z54+Z55</f>
        <v>1335.855517</v>
      </c>
      <c r="AA6" s="43">
        <f>AA7+AA8+AA9+AA10+AA11+AA12+AA13+AA14+AA15+AA16+AA17+AA18+AA19+AA20+AA21+AA22+AA24+AA25+AA26+AA27+AA28+AA29+AA30+AA31+AA32+AA33+AA34+AA35+AA36+AA37+AA38+AA39+AA40+AA41+AA42+AA43+AA44+AA45+AA46+AA47+AA48+AA49+AA50+AA51+AA52+AA53+AA54+AA55</f>
        <v>6244.402804</v>
      </c>
      <c r="AB6" s="42">
        <f>AA6/D6</f>
        <v>0.18773837360425</v>
      </c>
      <c r="AC6" s="43">
        <f>AC7+AC8+AC9+AC10+AC11+AC12+AC13+AC14+AC15+AC16+AC17+AC18+AC19+AC20+AC21+AC22+AC24+AC25+AC26+AC27+AC28+AC29+AC30+AC31+AC32+AC33+AC34+AC35+AC36+AC37+AC38+AC39+AC40+AC41+AC42+AC43+AC44+AC45+AC46+AC47+AC48+AC49+AC50+AC51+AC52+AC53+AC23+AC54+AC55</f>
        <v>5738.071349</v>
      </c>
      <c r="AD6" s="43">
        <f>AD7+AD8+AD9+AD10+AD11+AD12+AD13+AD14+AD15+AD16+AD17+AD18+AD19+AD20+AD21+AD22+AD23+AD24+AD25+AD26+AD27+AD28+AD29+AD30+AD31+AD32+AD33+AD34+AD35+AD36+AD37+AD38+AD39+AD40+AD41+AD42+AD43+AD44+AD45+AD46+AD47+AD48+AD49+AD50+AD51+AD52+AD53+AD54+AD55</f>
        <v>11982.474153</v>
      </c>
      <c r="AE6" s="42">
        <f>AD6/D6</f>
        <v>0.360253859311922</v>
      </c>
      <c r="AF6" s="43">
        <f>AF7+AF8+AF9+AF10+AF11+AF12+AF13+AF14+AF15+AF16+AF17+AF18+AF19+AF20+AF21+AF22+AF24+AF25+AF26+AF27+AF28+AF29+AF30+AF31+AF32+AF33+AF34+AF35+AF36+AF37+AF38+AF39+AF40+AF41+AF42+AF43+AF44+AF45+AF46+AF47+AF48+AF49+AF50+AF51+AF52+AF53+AF23+AF54+AF55</f>
        <v>8384.850589</v>
      </c>
      <c r="AG6" s="43">
        <f>AG7+AG8+AG9+AG10+AG11+AG12+AG13+AG14+AG15+AG16+AG17+AG18+AG19+AG20+AG21+AG22+AG23+AG24+AG25+AG26+AG27+AG28+AG29+AG30+AG31+AG32+AG33+AG34+AG35+AG36+AG37+AG38+AG39+AG40+AG41+AG42+AG43+AG44+AG45+AG46+AG47+AG48+AG49+AG50+AG51+AG52+AG53+AG54+AG55</f>
        <v>20367.324742</v>
      </c>
      <c r="AH6" s="42">
        <f>AG6/D6</f>
        <v>0.612344933815498</v>
      </c>
    </row>
    <row r="7" s="4" customFormat="1" ht="176" customHeight="1" spans="1:34">
      <c r="A7" s="19">
        <v>1</v>
      </c>
      <c r="B7" s="20" t="s">
        <v>34</v>
      </c>
      <c r="C7" s="20" t="s">
        <v>35</v>
      </c>
      <c r="D7" s="21">
        <v>4468.056</v>
      </c>
      <c r="E7" s="21">
        <v>4468.056</v>
      </c>
      <c r="F7" s="21">
        <v>4468.056</v>
      </c>
      <c r="G7" s="21"/>
      <c r="H7" s="19"/>
      <c r="I7" s="19"/>
      <c r="J7" s="19"/>
      <c r="K7" s="19"/>
      <c r="L7" s="19"/>
      <c r="M7" s="19"/>
      <c r="N7" s="19"/>
      <c r="O7" s="19"/>
      <c r="P7" s="19"/>
      <c r="Q7" s="19" t="s">
        <v>36</v>
      </c>
      <c r="R7" s="19">
        <v>0</v>
      </c>
      <c r="S7" s="42">
        <v>0</v>
      </c>
      <c r="T7" s="43">
        <v>0</v>
      </c>
      <c r="U7" s="43">
        <v>0</v>
      </c>
      <c r="V7" s="42">
        <v>0</v>
      </c>
      <c r="W7" s="43">
        <v>0</v>
      </c>
      <c r="X7" s="43">
        <v>0</v>
      </c>
      <c r="Y7" s="42">
        <v>0</v>
      </c>
      <c r="Z7" s="43">
        <v>0</v>
      </c>
      <c r="AA7" s="43">
        <v>0</v>
      </c>
      <c r="AB7" s="42">
        <v>0</v>
      </c>
      <c r="AC7" s="43">
        <v>0</v>
      </c>
      <c r="AD7" s="43">
        <v>0</v>
      </c>
      <c r="AE7" s="42">
        <v>0</v>
      </c>
      <c r="AF7" s="43">
        <v>3422.576</v>
      </c>
      <c r="AG7" s="43">
        <v>3422.576</v>
      </c>
      <c r="AH7" s="42">
        <v>0.766010094770522</v>
      </c>
    </row>
    <row r="8" s="4" customFormat="1" ht="176" customHeight="1" spans="1:34">
      <c r="A8" s="19">
        <v>2</v>
      </c>
      <c r="B8" s="20" t="s">
        <v>37</v>
      </c>
      <c r="C8" s="20" t="s">
        <v>35</v>
      </c>
      <c r="D8" s="21">
        <f>E8+M8+N8+O8+P8</f>
        <v>1334.1254</v>
      </c>
      <c r="E8" s="21">
        <f>G8+H8+I8+J8+K8+L8+F8</f>
        <v>1334.1254</v>
      </c>
      <c r="F8" s="22">
        <v>600.1254</v>
      </c>
      <c r="G8" s="21"/>
      <c r="H8" s="19"/>
      <c r="I8" s="19">
        <v>734</v>
      </c>
      <c r="J8" s="19"/>
      <c r="K8" s="19"/>
      <c r="L8" s="19"/>
      <c r="M8" s="19"/>
      <c r="N8" s="19"/>
      <c r="O8" s="19"/>
      <c r="P8" s="19"/>
      <c r="Q8" s="19" t="s">
        <v>36</v>
      </c>
      <c r="R8" s="19"/>
      <c r="S8" s="42">
        <f>R8/D8</f>
        <v>0</v>
      </c>
      <c r="T8" s="43"/>
      <c r="U8" s="43">
        <f>R8+T8</f>
        <v>0</v>
      </c>
      <c r="V8" s="42">
        <f>U8/D8</f>
        <v>0</v>
      </c>
      <c r="W8" s="43"/>
      <c r="X8" s="43">
        <f>U8+W8</f>
        <v>0</v>
      </c>
      <c r="Y8" s="42">
        <f>X8/D8</f>
        <v>0</v>
      </c>
      <c r="Z8" s="43"/>
      <c r="AA8" s="43">
        <f>X8+Z8</f>
        <v>0</v>
      </c>
      <c r="AB8" s="42">
        <f>AA8/D8</f>
        <v>0</v>
      </c>
      <c r="AC8" s="43"/>
      <c r="AD8" s="43">
        <f>AA8+AC8</f>
        <v>0</v>
      </c>
      <c r="AE8" s="42">
        <f>AD8/D8</f>
        <v>0</v>
      </c>
      <c r="AF8" s="43"/>
      <c r="AG8" s="43">
        <f>AD8+AF8</f>
        <v>0</v>
      </c>
      <c r="AH8" s="42">
        <f>AG8/D8</f>
        <v>0</v>
      </c>
    </row>
    <row r="9" s="4" customFormat="1" ht="178" customHeight="1" spans="1:34">
      <c r="A9" s="19">
        <v>3</v>
      </c>
      <c r="B9" s="20" t="s">
        <v>38</v>
      </c>
      <c r="C9" s="20" t="s">
        <v>39</v>
      </c>
      <c r="D9" s="21">
        <v>31.5795</v>
      </c>
      <c r="E9" s="21">
        <v>31.5795</v>
      </c>
      <c r="F9" s="19">
        <v>31.5795</v>
      </c>
      <c r="G9" s="23"/>
      <c r="H9" s="19"/>
      <c r="I9" s="19"/>
      <c r="J9" s="19"/>
      <c r="K9" s="19"/>
      <c r="L9" s="19"/>
      <c r="M9" s="19"/>
      <c r="N9" s="19"/>
      <c r="O9" s="19"/>
      <c r="P9" s="19"/>
      <c r="Q9" s="19" t="s">
        <v>40</v>
      </c>
      <c r="R9" s="19"/>
      <c r="S9" s="42">
        <v>0</v>
      </c>
      <c r="T9" s="43">
        <v>0</v>
      </c>
      <c r="U9" s="43">
        <v>0</v>
      </c>
      <c r="V9" s="42">
        <v>0</v>
      </c>
      <c r="W9" s="43">
        <v>0</v>
      </c>
      <c r="X9" s="43">
        <v>0</v>
      </c>
      <c r="Y9" s="42">
        <v>0</v>
      </c>
      <c r="Z9" s="43">
        <v>0</v>
      </c>
      <c r="AA9" s="43">
        <v>0</v>
      </c>
      <c r="AB9" s="42">
        <v>0</v>
      </c>
      <c r="AC9" s="43">
        <v>0</v>
      </c>
      <c r="AD9" s="43">
        <v>0</v>
      </c>
      <c r="AE9" s="42">
        <v>0</v>
      </c>
      <c r="AF9" s="43">
        <v>22.2285</v>
      </c>
      <c r="AG9" s="43">
        <v>22.2285</v>
      </c>
      <c r="AH9" s="42">
        <v>0.703890181921816</v>
      </c>
    </row>
    <row r="10" s="4" customFormat="1" ht="178" customHeight="1" spans="1:34">
      <c r="A10" s="19">
        <v>4</v>
      </c>
      <c r="B10" s="20" t="s">
        <v>41</v>
      </c>
      <c r="C10" s="20" t="s">
        <v>42</v>
      </c>
      <c r="D10" s="21">
        <v>684.537</v>
      </c>
      <c r="E10" s="21">
        <v>684.537</v>
      </c>
      <c r="F10" s="19">
        <v>684.537</v>
      </c>
      <c r="G10" s="23"/>
      <c r="H10" s="19"/>
      <c r="I10" s="19"/>
      <c r="J10" s="19"/>
      <c r="K10" s="19"/>
      <c r="L10" s="19"/>
      <c r="M10" s="19"/>
      <c r="N10" s="19"/>
      <c r="O10" s="19"/>
      <c r="P10" s="19"/>
      <c r="Q10" s="19" t="s">
        <v>40</v>
      </c>
      <c r="R10" s="19"/>
      <c r="S10" s="42">
        <v>0</v>
      </c>
      <c r="T10" s="43">
        <v>0</v>
      </c>
      <c r="U10" s="43">
        <v>0</v>
      </c>
      <c r="V10" s="42">
        <v>0</v>
      </c>
      <c r="W10" s="43">
        <v>0</v>
      </c>
      <c r="X10" s="43">
        <v>0</v>
      </c>
      <c r="Y10" s="42">
        <v>0</v>
      </c>
      <c r="Z10" s="43">
        <v>0</v>
      </c>
      <c r="AA10" s="43">
        <v>0</v>
      </c>
      <c r="AB10" s="42">
        <v>0</v>
      </c>
      <c r="AC10" s="43">
        <v>0</v>
      </c>
      <c r="AD10" s="43">
        <v>0</v>
      </c>
      <c r="AE10" s="42">
        <v>0</v>
      </c>
      <c r="AF10" s="43">
        <v>501.2415</v>
      </c>
      <c r="AG10" s="43">
        <v>501.2415</v>
      </c>
      <c r="AH10" s="42">
        <v>0.732234342336499</v>
      </c>
    </row>
    <row r="11" s="4" customFormat="1" ht="178" customHeight="1" spans="1:34">
      <c r="A11" s="19">
        <v>5</v>
      </c>
      <c r="B11" s="20" t="s">
        <v>43</v>
      </c>
      <c r="C11" s="20" t="s">
        <v>44</v>
      </c>
      <c r="D11" s="21">
        <f t="shared" ref="D11:D22" si="1">E11+M11+N11+O11+P11</f>
        <v>835</v>
      </c>
      <c r="E11" s="21">
        <f t="shared" ref="E11:E22" si="2">G11+H11+I11+J11+K11+L11+F11</f>
        <v>835</v>
      </c>
      <c r="F11" s="19">
        <f>600+155</f>
        <v>755</v>
      </c>
      <c r="G11" s="19">
        <v>80</v>
      </c>
      <c r="H11" s="19"/>
      <c r="I11" s="19"/>
      <c r="J11" s="19"/>
      <c r="K11" s="19"/>
      <c r="L11" s="19"/>
      <c r="M11" s="19"/>
      <c r="N11" s="19"/>
      <c r="O11" s="19"/>
      <c r="P11" s="19"/>
      <c r="Q11" s="19" t="s">
        <v>45</v>
      </c>
      <c r="R11" s="19"/>
      <c r="S11" s="42">
        <f t="shared" ref="S11:S55" si="3">R11/D11</f>
        <v>0</v>
      </c>
      <c r="T11" s="43"/>
      <c r="U11" s="43">
        <f t="shared" ref="U11:U23" si="4">R11+T11</f>
        <v>0</v>
      </c>
      <c r="V11" s="42">
        <f t="shared" ref="V11:V55" si="5">U11/D11</f>
        <v>0</v>
      </c>
      <c r="W11" s="43"/>
      <c r="X11" s="43">
        <f t="shared" ref="X11:X23" si="6">U11+W11</f>
        <v>0</v>
      </c>
      <c r="Y11" s="42">
        <f t="shared" ref="Y11:Y55" si="7">X11/D11</f>
        <v>0</v>
      </c>
      <c r="Z11" s="43"/>
      <c r="AA11" s="43">
        <f t="shared" ref="AA11:AA55" si="8">X11+Z11</f>
        <v>0</v>
      </c>
      <c r="AB11" s="42">
        <f>AA11/D11</f>
        <v>0</v>
      </c>
      <c r="AC11" s="43"/>
      <c r="AD11" s="43">
        <f t="shared" ref="AD11:AD55" si="9">AA11+AC11</f>
        <v>0</v>
      </c>
      <c r="AE11" s="42">
        <f t="shared" ref="AE11:AE55" si="10">AD11/D11</f>
        <v>0</v>
      </c>
      <c r="AF11" s="43"/>
      <c r="AG11" s="43">
        <f t="shared" ref="AG11:AG55" si="11">AD11+AF11</f>
        <v>0</v>
      </c>
      <c r="AH11" s="42">
        <f t="shared" ref="AH11:AH55" si="12">AG11/D11</f>
        <v>0</v>
      </c>
    </row>
    <row r="12" s="4" customFormat="1" ht="178" customHeight="1" spans="1:34">
      <c r="A12" s="19">
        <v>6</v>
      </c>
      <c r="B12" s="20" t="s">
        <v>46</v>
      </c>
      <c r="C12" s="20" t="s">
        <v>47</v>
      </c>
      <c r="D12" s="21">
        <f t="shared" si="1"/>
        <v>320</v>
      </c>
      <c r="E12" s="21">
        <f t="shared" si="2"/>
        <v>320</v>
      </c>
      <c r="F12" s="19">
        <v>320</v>
      </c>
      <c r="G12" s="23"/>
      <c r="H12" s="19"/>
      <c r="I12" s="19"/>
      <c r="J12" s="19"/>
      <c r="K12" s="19"/>
      <c r="L12" s="19"/>
      <c r="M12" s="19"/>
      <c r="N12" s="19"/>
      <c r="O12" s="19"/>
      <c r="P12" s="19"/>
      <c r="Q12" s="19" t="s">
        <v>48</v>
      </c>
      <c r="R12" s="19"/>
      <c r="S12" s="42">
        <f t="shared" si="3"/>
        <v>0</v>
      </c>
      <c r="T12" s="43"/>
      <c r="U12" s="43">
        <f t="shared" si="4"/>
        <v>0</v>
      </c>
      <c r="V12" s="42">
        <f t="shared" si="5"/>
        <v>0</v>
      </c>
      <c r="W12" s="43"/>
      <c r="X12" s="43">
        <f t="shared" si="6"/>
        <v>0</v>
      </c>
      <c r="Y12" s="42">
        <f t="shared" si="7"/>
        <v>0</v>
      </c>
      <c r="Z12" s="43">
        <v>86.187644</v>
      </c>
      <c r="AA12" s="43">
        <f t="shared" si="8"/>
        <v>86.187644</v>
      </c>
      <c r="AB12" s="42">
        <f t="shared" ref="AB12:AB25" si="13">AA12/D12</f>
        <v>0.2693363875</v>
      </c>
      <c r="AC12" s="43">
        <v>10.3411</v>
      </c>
      <c r="AD12" s="43">
        <f t="shared" si="9"/>
        <v>96.528744</v>
      </c>
      <c r="AE12" s="42">
        <f t="shared" si="10"/>
        <v>0.301652325</v>
      </c>
      <c r="AF12" s="43">
        <v>80.457444</v>
      </c>
      <c r="AG12" s="43">
        <f t="shared" si="11"/>
        <v>176.986188</v>
      </c>
      <c r="AH12" s="42">
        <f t="shared" si="12"/>
        <v>0.5530818375</v>
      </c>
    </row>
    <row r="13" s="4" customFormat="1" ht="178" customHeight="1" spans="1:34">
      <c r="A13" s="19">
        <v>7</v>
      </c>
      <c r="B13" s="20" t="s">
        <v>49</v>
      </c>
      <c r="C13" s="20" t="s">
        <v>50</v>
      </c>
      <c r="D13" s="21">
        <f t="shared" si="1"/>
        <v>248</v>
      </c>
      <c r="E13" s="21">
        <f t="shared" si="2"/>
        <v>248</v>
      </c>
      <c r="F13" s="19">
        <v>248</v>
      </c>
      <c r="G13" s="23"/>
      <c r="H13" s="19"/>
      <c r="I13" s="19"/>
      <c r="J13" s="19"/>
      <c r="K13" s="19"/>
      <c r="L13" s="19"/>
      <c r="M13" s="19"/>
      <c r="N13" s="19"/>
      <c r="O13" s="19"/>
      <c r="P13" s="19"/>
      <c r="Q13" s="19" t="s">
        <v>51</v>
      </c>
      <c r="R13" s="19"/>
      <c r="S13" s="42">
        <f t="shared" si="3"/>
        <v>0</v>
      </c>
      <c r="T13" s="43"/>
      <c r="U13" s="43">
        <f t="shared" si="4"/>
        <v>0</v>
      </c>
      <c r="V13" s="42">
        <f t="shared" si="5"/>
        <v>0</v>
      </c>
      <c r="W13" s="43"/>
      <c r="X13" s="43">
        <f t="shared" si="6"/>
        <v>0</v>
      </c>
      <c r="Y13" s="42">
        <f t="shared" si="7"/>
        <v>0</v>
      </c>
      <c r="Z13" s="43"/>
      <c r="AA13" s="43">
        <f t="shared" si="8"/>
        <v>0</v>
      </c>
      <c r="AB13" s="42">
        <f t="shared" si="13"/>
        <v>0</v>
      </c>
      <c r="AC13" s="43">
        <v>79.2999</v>
      </c>
      <c r="AD13" s="43">
        <f t="shared" si="9"/>
        <v>79.2999</v>
      </c>
      <c r="AE13" s="42">
        <f t="shared" si="10"/>
        <v>0.319757661290323</v>
      </c>
      <c r="AF13" s="43"/>
      <c r="AG13" s="43">
        <f t="shared" si="11"/>
        <v>79.2999</v>
      </c>
      <c r="AH13" s="42">
        <f t="shared" si="12"/>
        <v>0.319757661290323</v>
      </c>
    </row>
    <row r="14" s="4" customFormat="1" ht="178" customHeight="1" spans="1:34">
      <c r="A14" s="19">
        <v>8</v>
      </c>
      <c r="B14" s="20" t="s">
        <v>52</v>
      </c>
      <c r="C14" s="20" t="s">
        <v>53</v>
      </c>
      <c r="D14" s="21">
        <f t="shared" si="1"/>
        <v>342.956975</v>
      </c>
      <c r="E14" s="21">
        <f t="shared" si="2"/>
        <v>342.956975</v>
      </c>
      <c r="F14" s="19">
        <f>380-37.043025</f>
        <v>342.956975</v>
      </c>
      <c r="G14" s="23"/>
      <c r="H14" s="19"/>
      <c r="I14" s="19"/>
      <c r="J14" s="19"/>
      <c r="K14" s="19"/>
      <c r="L14" s="19"/>
      <c r="M14" s="19"/>
      <c r="N14" s="19"/>
      <c r="O14" s="19"/>
      <c r="P14" s="19"/>
      <c r="Q14" s="19" t="s">
        <v>54</v>
      </c>
      <c r="R14" s="19"/>
      <c r="S14" s="42">
        <f t="shared" si="3"/>
        <v>0</v>
      </c>
      <c r="T14" s="43"/>
      <c r="U14" s="43">
        <f t="shared" si="4"/>
        <v>0</v>
      </c>
      <c r="V14" s="42">
        <f t="shared" si="5"/>
        <v>0</v>
      </c>
      <c r="W14" s="43">
        <v>117.122264</v>
      </c>
      <c r="X14" s="43">
        <f t="shared" si="6"/>
        <v>117.122264</v>
      </c>
      <c r="Y14" s="42">
        <f t="shared" si="7"/>
        <v>0.341507164273303</v>
      </c>
      <c r="Z14" s="43">
        <v>94.7193</v>
      </c>
      <c r="AA14" s="43">
        <f t="shared" si="8"/>
        <v>211.841564</v>
      </c>
      <c r="AB14" s="42">
        <f t="shared" si="13"/>
        <v>0.617691370761595</v>
      </c>
      <c r="AC14" s="43"/>
      <c r="AD14" s="43">
        <f t="shared" si="9"/>
        <v>211.841564</v>
      </c>
      <c r="AE14" s="42">
        <f t="shared" si="10"/>
        <v>0.617691370761595</v>
      </c>
      <c r="AF14" s="43">
        <v>94.7193</v>
      </c>
      <c r="AG14" s="43">
        <f t="shared" si="11"/>
        <v>306.560864</v>
      </c>
      <c r="AH14" s="42">
        <f t="shared" si="12"/>
        <v>0.893875577249887</v>
      </c>
    </row>
    <row r="15" s="4" customFormat="1" ht="178" customHeight="1" spans="1:34">
      <c r="A15" s="19">
        <v>9</v>
      </c>
      <c r="B15" s="20" t="s">
        <v>55</v>
      </c>
      <c r="C15" s="20" t="s">
        <v>56</v>
      </c>
      <c r="D15" s="21">
        <f t="shared" si="1"/>
        <v>350</v>
      </c>
      <c r="E15" s="21">
        <f t="shared" si="2"/>
        <v>350</v>
      </c>
      <c r="F15" s="21">
        <f>380-30</f>
        <v>350</v>
      </c>
      <c r="G15" s="23"/>
      <c r="H15" s="19"/>
      <c r="I15" s="19"/>
      <c r="J15" s="19"/>
      <c r="K15" s="19"/>
      <c r="L15" s="19"/>
      <c r="M15" s="19"/>
      <c r="N15" s="19"/>
      <c r="O15" s="19"/>
      <c r="P15" s="19"/>
      <c r="Q15" s="19" t="s">
        <v>51</v>
      </c>
      <c r="R15" s="19"/>
      <c r="S15" s="42">
        <f t="shared" si="3"/>
        <v>0</v>
      </c>
      <c r="T15" s="43"/>
      <c r="U15" s="43">
        <f t="shared" si="4"/>
        <v>0</v>
      </c>
      <c r="V15" s="42">
        <f t="shared" si="5"/>
        <v>0</v>
      </c>
      <c r="W15" s="43">
        <v>103.159992</v>
      </c>
      <c r="X15" s="43">
        <f t="shared" si="6"/>
        <v>103.159992</v>
      </c>
      <c r="Y15" s="42">
        <f t="shared" si="7"/>
        <v>0.294742834285714</v>
      </c>
      <c r="Z15" s="43"/>
      <c r="AA15" s="43">
        <f t="shared" si="8"/>
        <v>103.159992</v>
      </c>
      <c r="AB15" s="42">
        <f t="shared" si="13"/>
        <v>0.294742834285714</v>
      </c>
      <c r="AC15" s="43">
        <v>167.3245</v>
      </c>
      <c r="AD15" s="43">
        <f t="shared" si="9"/>
        <v>270.484492</v>
      </c>
      <c r="AE15" s="42">
        <f t="shared" si="10"/>
        <v>0.772812834285714</v>
      </c>
      <c r="AF15" s="43"/>
      <c r="AG15" s="43">
        <f t="shared" si="11"/>
        <v>270.484492</v>
      </c>
      <c r="AH15" s="42">
        <f t="shared" si="12"/>
        <v>0.772812834285714</v>
      </c>
    </row>
    <row r="16" s="4" customFormat="1" ht="178" customHeight="1" spans="1:34">
      <c r="A16" s="19">
        <v>10</v>
      </c>
      <c r="B16" s="20" t="s">
        <v>57</v>
      </c>
      <c r="C16" s="20" t="s">
        <v>58</v>
      </c>
      <c r="D16" s="21">
        <f t="shared" si="1"/>
        <v>380</v>
      </c>
      <c r="E16" s="21">
        <f t="shared" si="2"/>
        <v>380</v>
      </c>
      <c r="F16" s="19">
        <v>380</v>
      </c>
      <c r="G16" s="23"/>
      <c r="H16" s="19"/>
      <c r="I16" s="19"/>
      <c r="J16" s="19"/>
      <c r="K16" s="19"/>
      <c r="L16" s="19"/>
      <c r="M16" s="19"/>
      <c r="N16" s="19"/>
      <c r="O16" s="19"/>
      <c r="P16" s="19"/>
      <c r="Q16" s="19" t="s">
        <v>59</v>
      </c>
      <c r="R16" s="19"/>
      <c r="S16" s="42">
        <f t="shared" si="3"/>
        <v>0</v>
      </c>
      <c r="T16" s="43"/>
      <c r="U16" s="43">
        <f t="shared" si="4"/>
        <v>0</v>
      </c>
      <c r="V16" s="42">
        <f t="shared" si="5"/>
        <v>0</v>
      </c>
      <c r="W16" s="43"/>
      <c r="X16" s="43">
        <f t="shared" si="6"/>
        <v>0</v>
      </c>
      <c r="Y16" s="42">
        <f t="shared" si="7"/>
        <v>0</v>
      </c>
      <c r="Z16" s="43"/>
      <c r="AA16" s="43">
        <f t="shared" si="8"/>
        <v>0</v>
      </c>
      <c r="AB16" s="42">
        <f t="shared" si="13"/>
        <v>0</v>
      </c>
      <c r="AC16" s="43">
        <v>102.34371</v>
      </c>
      <c r="AD16" s="43">
        <f t="shared" si="9"/>
        <v>102.34371</v>
      </c>
      <c r="AE16" s="42">
        <f t="shared" si="10"/>
        <v>0.269325552631579</v>
      </c>
      <c r="AF16" s="43">
        <v>127.484991</v>
      </c>
      <c r="AG16" s="43">
        <f t="shared" si="11"/>
        <v>229.828701</v>
      </c>
      <c r="AH16" s="42">
        <f t="shared" si="12"/>
        <v>0.604812371052632</v>
      </c>
    </row>
    <row r="17" s="4" customFormat="1" ht="178" customHeight="1" spans="1:34">
      <c r="A17" s="19">
        <v>11</v>
      </c>
      <c r="B17" s="20" t="s">
        <v>60</v>
      </c>
      <c r="C17" s="20" t="s">
        <v>61</v>
      </c>
      <c r="D17" s="21">
        <f t="shared" si="1"/>
        <v>0</v>
      </c>
      <c r="E17" s="21">
        <f t="shared" si="2"/>
        <v>0</v>
      </c>
      <c r="F17" s="19">
        <f>310-310</f>
        <v>0</v>
      </c>
      <c r="G17" s="23"/>
      <c r="H17" s="19"/>
      <c r="I17" s="19"/>
      <c r="J17" s="19"/>
      <c r="K17" s="19"/>
      <c r="L17" s="19"/>
      <c r="M17" s="19"/>
      <c r="N17" s="19"/>
      <c r="O17" s="19"/>
      <c r="P17" s="19"/>
      <c r="Q17" s="19" t="s">
        <v>48</v>
      </c>
      <c r="R17" s="19"/>
      <c r="S17" s="42" t="e">
        <f t="shared" si="3"/>
        <v>#DIV/0!</v>
      </c>
      <c r="T17" s="43"/>
      <c r="U17" s="43">
        <f t="shared" si="4"/>
        <v>0</v>
      </c>
      <c r="V17" s="42" t="e">
        <f t="shared" si="5"/>
        <v>#DIV/0!</v>
      </c>
      <c r="W17" s="43"/>
      <c r="X17" s="43">
        <f t="shared" si="6"/>
        <v>0</v>
      </c>
      <c r="Y17" s="42" t="e">
        <f t="shared" si="7"/>
        <v>#DIV/0!</v>
      </c>
      <c r="Z17" s="43"/>
      <c r="AA17" s="43">
        <f t="shared" si="8"/>
        <v>0</v>
      </c>
      <c r="AB17" s="42" t="e">
        <f t="shared" si="13"/>
        <v>#DIV/0!</v>
      </c>
      <c r="AC17" s="43"/>
      <c r="AD17" s="43">
        <f t="shared" si="9"/>
        <v>0</v>
      </c>
      <c r="AE17" s="42" t="e">
        <f t="shared" si="10"/>
        <v>#DIV/0!</v>
      </c>
      <c r="AF17" s="43"/>
      <c r="AG17" s="43">
        <f t="shared" si="11"/>
        <v>0</v>
      </c>
      <c r="AH17" s="42" t="e">
        <f t="shared" si="12"/>
        <v>#DIV/0!</v>
      </c>
    </row>
    <row r="18" s="4" customFormat="1" ht="93" customHeight="1" spans="1:34">
      <c r="A18" s="19">
        <v>12</v>
      </c>
      <c r="B18" s="20" t="s">
        <v>62</v>
      </c>
      <c r="C18" s="20" t="s">
        <v>63</v>
      </c>
      <c r="D18" s="21">
        <f t="shared" si="1"/>
        <v>325.537267</v>
      </c>
      <c r="E18" s="21">
        <f t="shared" si="2"/>
        <v>325.537267</v>
      </c>
      <c r="F18" s="19">
        <f>389-63.462733</f>
        <v>325.537267</v>
      </c>
      <c r="G18" s="23"/>
      <c r="H18" s="19"/>
      <c r="I18" s="19"/>
      <c r="J18" s="19"/>
      <c r="K18" s="19"/>
      <c r="L18" s="19"/>
      <c r="M18" s="19"/>
      <c r="N18" s="19"/>
      <c r="O18" s="19"/>
      <c r="P18" s="19"/>
      <c r="Q18" s="19" t="s">
        <v>64</v>
      </c>
      <c r="R18" s="19"/>
      <c r="S18" s="42">
        <f t="shared" si="3"/>
        <v>0</v>
      </c>
      <c r="T18" s="43"/>
      <c r="U18" s="43">
        <f t="shared" si="4"/>
        <v>0</v>
      </c>
      <c r="V18" s="42">
        <f t="shared" si="5"/>
        <v>0</v>
      </c>
      <c r="W18" s="43">
        <v>110.038713</v>
      </c>
      <c r="X18" s="43">
        <f t="shared" si="6"/>
        <v>110.038713</v>
      </c>
      <c r="Y18" s="42">
        <f t="shared" si="7"/>
        <v>0.338021861564624</v>
      </c>
      <c r="Z18" s="43"/>
      <c r="AA18" s="43">
        <f t="shared" si="8"/>
        <v>110.038713</v>
      </c>
      <c r="AB18" s="42">
        <f t="shared" si="13"/>
        <v>0.338021861564624</v>
      </c>
      <c r="AC18" s="43">
        <v>148.763892</v>
      </c>
      <c r="AD18" s="43">
        <f t="shared" si="9"/>
        <v>258.802605</v>
      </c>
      <c r="AE18" s="42">
        <f t="shared" si="10"/>
        <v>0.795001467527833</v>
      </c>
      <c r="AF18" s="43"/>
      <c r="AG18" s="43">
        <f t="shared" si="11"/>
        <v>258.802605</v>
      </c>
      <c r="AH18" s="42">
        <f t="shared" si="12"/>
        <v>0.795001467527833</v>
      </c>
    </row>
    <row r="19" s="4" customFormat="1" ht="93" customHeight="1" spans="1:34">
      <c r="A19" s="19">
        <v>13</v>
      </c>
      <c r="B19" s="20" t="s">
        <v>65</v>
      </c>
      <c r="C19" s="20" t="s">
        <v>63</v>
      </c>
      <c r="D19" s="21">
        <f t="shared" si="1"/>
        <v>311.149142</v>
      </c>
      <c r="E19" s="21">
        <f t="shared" si="2"/>
        <v>311.149142</v>
      </c>
      <c r="F19" s="19">
        <f>320-8.850858</f>
        <v>311.149142</v>
      </c>
      <c r="G19" s="23"/>
      <c r="H19" s="19"/>
      <c r="I19" s="19"/>
      <c r="J19" s="19"/>
      <c r="K19" s="19"/>
      <c r="L19" s="19"/>
      <c r="M19" s="19"/>
      <c r="N19" s="19"/>
      <c r="O19" s="19"/>
      <c r="P19" s="19"/>
      <c r="Q19" s="19" t="s">
        <v>64</v>
      </c>
      <c r="R19" s="19"/>
      <c r="S19" s="42">
        <f t="shared" si="3"/>
        <v>0</v>
      </c>
      <c r="T19" s="43"/>
      <c r="U19" s="43">
        <f t="shared" si="4"/>
        <v>0</v>
      </c>
      <c r="V19" s="42">
        <f t="shared" si="5"/>
        <v>0</v>
      </c>
      <c r="W19" s="43">
        <v>102.783797</v>
      </c>
      <c r="X19" s="43">
        <f t="shared" si="6"/>
        <v>102.783797</v>
      </c>
      <c r="Y19" s="42">
        <f t="shared" si="7"/>
        <v>0.330336109363271</v>
      </c>
      <c r="Z19" s="43"/>
      <c r="AA19" s="43">
        <f t="shared" si="8"/>
        <v>102.783797</v>
      </c>
      <c r="AB19" s="42">
        <f t="shared" si="13"/>
        <v>0.330336109363271</v>
      </c>
      <c r="AC19" s="43"/>
      <c r="AD19" s="43">
        <f t="shared" si="9"/>
        <v>102.783797</v>
      </c>
      <c r="AE19" s="42">
        <f t="shared" si="10"/>
        <v>0.330336109363271</v>
      </c>
      <c r="AF19" s="43"/>
      <c r="AG19" s="43">
        <f t="shared" si="11"/>
        <v>102.783797</v>
      </c>
      <c r="AH19" s="42">
        <f t="shared" si="12"/>
        <v>0.330336109363271</v>
      </c>
    </row>
    <row r="20" s="4" customFormat="1" ht="178" customHeight="1" spans="1:34">
      <c r="A20" s="19">
        <v>14</v>
      </c>
      <c r="B20" s="20" t="s">
        <v>66</v>
      </c>
      <c r="C20" s="20" t="s">
        <v>67</v>
      </c>
      <c r="D20" s="21">
        <f t="shared" si="1"/>
        <v>370.57</v>
      </c>
      <c r="E20" s="21">
        <f t="shared" si="2"/>
        <v>370.57</v>
      </c>
      <c r="F20" s="19">
        <f>389-18.43</f>
        <v>370.57</v>
      </c>
      <c r="G20" s="23"/>
      <c r="H20" s="19"/>
      <c r="I20" s="19"/>
      <c r="J20" s="19"/>
      <c r="K20" s="19"/>
      <c r="L20" s="19"/>
      <c r="M20" s="19"/>
      <c r="N20" s="19"/>
      <c r="O20" s="19"/>
      <c r="P20" s="19"/>
      <c r="Q20" s="19" t="s">
        <v>68</v>
      </c>
      <c r="R20" s="19"/>
      <c r="S20" s="42">
        <f t="shared" si="3"/>
        <v>0</v>
      </c>
      <c r="T20" s="43"/>
      <c r="U20" s="43">
        <f t="shared" si="4"/>
        <v>0</v>
      </c>
      <c r="V20" s="42">
        <f t="shared" si="5"/>
        <v>0</v>
      </c>
      <c r="W20" s="43">
        <v>103.069981</v>
      </c>
      <c r="X20" s="43">
        <f t="shared" si="6"/>
        <v>103.069981</v>
      </c>
      <c r="Y20" s="42">
        <f t="shared" si="7"/>
        <v>0.27813903176188</v>
      </c>
      <c r="Z20" s="43"/>
      <c r="AA20" s="43">
        <f t="shared" si="8"/>
        <v>103.069981</v>
      </c>
      <c r="AB20" s="42">
        <f t="shared" si="13"/>
        <v>0.27813903176188</v>
      </c>
      <c r="AC20" s="43">
        <v>125.818818</v>
      </c>
      <c r="AD20" s="43">
        <f t="shared" si="9"/>
        <v>228.888799</v>
      </c>
      <c r="AE20" s="42">
        <f t="shared" si="10"/>
        <v>0.617666834876002</v>
      </c>
      <c r="AF20" s="43">
        <v>103.069981</v>
      </c>
      <c r="AG20" s="43">
        <f t="shared" si="11"/>
        <v>331.95878</v>
      </c>
      <c r="AH20" s="42">
        <f t="shared" si="12"/>
        <v>0.895805866637882</v>
      </c>
    </row>
    <row r="21" s="4" customFormat="1" ht="178" customHeight="1" spans="1:34">
      <c r="A21" s="19">
        <v>15</v>
      </c>
      <c r="B21" s="20" t="s">
        <v>69</v>
      </c>
      <c r="C21" s="20" t="s">
        <v>70</v>
      </c>
      <c r="D21" s="21">
        <f t="shared" si="1"/>
        <v>2770.4659</v>
      </c>
      <c r="E21" s="21">
        <f t="shared" si="2"/>
        <v>2702.4659</v>
      </c>
      <c r="F21" s="19">
        <f>1476.8+1225.6659</f>
        <v>2702.4659</v>
      </c>
      <c r="G21" s="23"/>
      <c r="H21" s="19"/>
      <c r="I21" s="19"/>
      <c r="J21" s="19"/>
      <c r="K21" s="19"/>
      <c r="L21" s="19"/>
      <c r="M21" s="19"/>
      <c r="N21" s="19"/>
      <c r="O21" s="19">
        <v>68</v>
      </c>
      <c r="P21" s="19"/>
      <c r="Q21" s="19" t="s">
        <v>71</v>
      </c>
      <c r="R21" s="19"/>
      <c r="S21" s="42">
        <f t="shared" si="3"/>
        <v>0</v>
      </c>
      <c r="T21" s="43"/>
      <c r="U21" s="43">
        <f t="shared" si="4"/>
        <v>0</v>
      </c>
      <c r="V21" s="42">
        <f t="shared" si="5"/>
        <v>0</v>
      </c>
      <c r="W21" s="43">
        <v>839.9541</v>
      </c>
      <c r="X21" s="43">
        <f t="shared" si="6"/>
        <v>839.9541</v>
      </c>
      <c r="Y21" s="42">
        <f t="shared" si="7"/>
        <v>0.303181533474207</v>
      </c>
      <c r="Z21" s="43"/>
      <c r="AA21" s="43">
        <f t="shared" si="8"/>
        <v>839.9541</v>
      </c>
      <c r="AB21" s="42">
        <f t="shared" si="13"/>
        <v>0.303181533474207</v>
      </c>
      <c r="AC21" s="43">
        <v>704.8459</v>
      </c>
      <c r="AD21" s="43">
        <f t="shared" si="9"/>
        <v>1544.8</v>
      </c>
      <c r="AE21" s="42">
        <f t="shared" si="10"/>
        <v>0.557595745899634</v>
      </c>
      <c r="AF21" s="43">
        <v>790.066</v>
      </c>
      <c r="AG21" s="43">
        <f t="shared" si="11"/>
        <v>2334.866</v>
      </c>
      <c r="AH21" s="42">
        <f t="shared" si="12"/>
        <v>0.842770163675359</v>
      </c>
    </row>
    <row r="22" s="4" customFormat="1" ht="178" customHeight="1" spans="1:34">
      <c r="A22" s="19">
        <v>16</v>
      </c>
      <c r="B22" s="20" t="s">
        <v>72</v>
      </c>
      <c r="C22" s="20" t="s">
        <v>73</v>
      </c>
      <c r="D22" s="21">
        <f t="shared" si="1"/>
        <v>414.84</v>
      </c>
      <c r="E22" s="21">
        <f t="shared" si="2"/>
        <v>414.84</v>
      </c>
      <c r="F22" s="19">
        <f>400+14.84</f>
        <v>414.84</v>
      </c>
      <c r="G22" s="23"/>
      <c r="H22" s="19"/>
      <c r="I22" s="19"/>
      <c r="J22" s="19"/>
      <c r="K22" s="19"/>
      <c r="L22" s="19"/>
      <c r="M22" s="19"/>
      <c r="N22" s="19"/>
      <c r="O22" s="19"/>
      <c r="P22" s="19"/>
      <c r="Q22" s="19" t="s">
        <v>71</v>
      </c>
      <c r="R22" s="19"/>
      <c r="S22" s="42">
        <f t="shared" si="3"/>
        <v>0</v>
      </c>
      <c r="T22" s="43"/>
      <c r="U22" s="43">
        <f t="shared" si="4"/>
        <v>0</v>
      </c>
      <c r="V22" s="42">
        <f t="shared" si="5"/>
        <v>0</v>
      </c>
      <c r="W22" s="43">
        <v>120.7976</v>
      </c>
      <c r="X22" s="43">
        <f t="shared" si="6"/>
        <v>120.7976</v>
      </c>
      <c r="Y22" s="42">
        <f t="shared" si="7"/>
        <v>0.291190820557323</v>
      </c>
      <c r="Z22" s="43">
        <v>147.0148</v>
      </c>
      <c r="AA22" s="43">
        <f t="shared" si="8"/>
        <v>267.8124</v>
      </c>
      <c r="AB22" s="42">
        <f t="shared" si="13"/>
        <v>0.645579982643911</v>
      </c>
      <c r="AC22" s="43">
        <v>79.6526</v>
      </c>
      <c r="AD22" s="43">
        <f t="shared" si="9"/>
        <v>347.465</v>
      </c>
      <c r="AE22" s="42">
        <f t="shared" si="10"/>
        <v>0.837587985729438</v>
      </c>
      <c r="AF22" s="43"/>
      <c r="AG22" s="43">
        <f t="shared" si="11"/>
        <v>347.465</v>
      </c>
      <c r="AH22" s="42">
        <f t="shared" si="12"/>
        <v>0.837587985729438</v>
      </c>
    </row>
    <row r="23" s="4" customFormat="1" ht="286" customHeight="1" spans="1:34">
      <c r="A23" s="19">
        <v>17</v>
      </c>
      <c r="B23" s="20" t="s">
        <v>74</v>
      </c>
      <c r="C23" s="20" t="s">
        <v>75</v>
      </c>
      <c r="D23" s="21">
        <f>E23+L23+M23+N23+O23</f>
        <v>2719.85</v>
      </c>
      <c r="E23" s="19">
        <f>F23+G23+H23+I23+J23+K23</f>
        <v>2719.85</v>
      </c>
      <c r="F23" s="19">
        <f>2125+594.85</f>
        <v>2719.85</v>
      </c>
      <c r="G23" s="19"/>
      <c r="H23" s="19"/>
      <c r="I23" s="19"/>
      <c r="J23" s="19"/>
      <c r="K23" s="19"/>
      <c r="L23" s="19"/>
      <c r="M23" s="19"/>
      <c r="N23" s="19"/>
      <c r="O23" s="19"/>
      <c r="P23" s="19"/>
      <c r="Q23" s="19" t="s">
        <v>71</v>
      </c>
      <c r="R23" s="19"/>
      <c r="S23" s="42">
        <f t="shared" si="3"/>
        <v>0</v>
      </c>
      <c r="T23" s="43"/>
      <c r="U23" s="43">
        <f t="shared" si="4"/>
        <v>0</v>
      </c>
      <c r="V23" s="42">
        <f t="shared" si="5"/>
        <v>0</v>
      </c>
      <c r="W23" s="43"/>
      <c r="X23" s="43">
        <f t="shared" si="6"/>
        <v>0</v>
      </c>
      <c r="Y23" s="42">
        <f t="shared" si="7"/>
        <v>0</v>
      </c>
      <c r="Z23" s="43"/>
      <c r="AA23" s="43">
        <f t="shared" si="8"/>
        <v>0</v>
      </c>
      <c r="AB23" s="42">
        <f t="shared" si="13"/>
        <v>0</v>
      </c>
      <c r="AC23" s="43">
        <v>808.0982</v>
      </c>
      <c r="AD23" s="43">
        <f t="shared" si="9"/>
        <v>808.0982</v>
      </c>
      <c r="AE23" s="42">
        <f t="shared" si="10"/>
        <v>0.297111311285549</v>
      </c>
      <c r="AF23" s="43"/>
      <c r="AG23" s="43">
        <f t="shared" si="11"/>
        <v>808.0982</v>
      </c>
      <c r="AH23" s="42">
        <f t="shared" si="12"/>
        <v>0.297111311285549</v>
      </c>
    </row>
    <row r="24" s="4" customFormat="1" ht="296" customHeight="1" spans="1:34">
      <c r="A24" s="19">
        <v>18</v>
      </c>
      <c r="B24" s="20" t="s">
        <v>76</v>
      </c>
      <c r="C24" s="20" t="s">
        <v>77</v>
      </c>
      <c r="D24" s="21">
        <f>E24+M24+N24+O24+P24</f>
        <v>2379.1851</v>
      </c>
      <c r="E24" s="21">
        <f t="shared" ref="E24:E55" si="14">G24+H24+I24+J24+K24+L24+F24</f>
        <v>2379.1851</v>
      </c>
      <c r="F24" s="19">
        <f>1200+1179.1851</f>
        <v>2379.1851</v>
      </c>
      <c r="G24" s="23"/>
      <c r="H24" s="19"/>
      <c r="I24" s="19"/>
      <c r="J24" s="19"/>
      <c r="K24" s="19"/>
      <c r="L24" s="19"/>
      <c r="M24" s="19"/>
      <c r="N24" s="19"/>
      <c r="O24" s="19"/>
      <c r="P24" s="19"/>
      <c r="Q24" s="19" t="s">
        <v>71</v>
      </c>
      <c r="R24" s="19"/>
      <c r="S24" s="42">
        <f t="shared" si="3"/>
        <v>0</v>
      </c>
      <c r="T24" s="43"/>
      <c r="U24" s="43">
        <f t="shared" ref="U24:U55" si="15">R24+T24</f>
        <v>0</v>
      </c>
      <c r="V24" s="42">
        <f t="shared" si="5"/>
        <v>0</v>
      </c>
      <c r="W24" s="43">
        <v>722.5016</v>
      </c>
      <c r="X24" s="43">
        <f t="shared" ref="X24:X55" si="16">U24+W24</f>
        <v>722.5016</v>
      </c>
      <c r="Y24" s="42">
        <f t="shared" si="7"/>
        <v>0.303676077998303</v>
      </c>
      <c r="Z24" s="43"/>
      <c r="AA24" s="43">
        <f t="shared" si="8"/>
        <v>722.5016</v>
      </c>
      <c r="AB24" s="42">
        <f t="shared" si="13"/>
        <v>0.303676077998303</v>
      </c>
      <c r="AC24" s="43">
        <v>411.0505</v>
      </c>
      <c r="AD24" s="43">
        <f t="shared" si="9"/>
        <v>1133.5521</v>
      </c>
      <c r="AE24" s="42">
        <f t="shared" si="10"/>
        <v>0.476445527504354</v>
      </c>
      <c r="AF24" s="43">
        <v>866.318</v>
      </c>
      <c r="AG24" s="43">
        <f t="shared" si="11"/>
        <v>1999.8701</v>
      </c>
      <c r="AH24" s="42">
        <f t="shared" si="12"/>
        <v>0.840569361333004</v>
      </c>
    </row>
    <row r="25" s="4" customFormat="1" ht="196" customHeight="1" spans="1:34">
      <c r="A25" s="19">
        <v>19</v>
      </c>
      <c r="B25" s="20" t="s">
        <v>78</v>
      </c>
      <c r="C25" s="20" t="s">
        <v>79</v>
      </c>
      <c r="D25" s="21">
        <f t="shared" ref="D24:D55" si="17">E25+M25+N25+O25+P25</f>
        <v>375</v>
      </c>
      <c r="E25" s="21">
        <f t="shared" si="14"/>
        <v>375</v>
      </c>
      <c r="F25" s="19"/>
      <c r="G25" s="19">
        <v>375</v>
      </c>
      <c r="H25" s="19"/>
      <c r="I25" s="19"/>
      <c r="J25" s="19"/>
      <c r="K25" s="19"/>
      <c r="L25" s="19"/>
      <c r="M25" s="19"/>
      <c r="N25" s="19"/>
      <c r="O25" s="19"/>
      <c r="P25" s="19"/>
      <c r="Q25" s="19" t="s">
        <v>80</v>
      </c>
      <c r="R25" s="19"/>
      <c r="S25" s="42">
        <f t="shared" si="3"/>
        <v>0</v>
      </c>
      <c r="T25" s="43"/>
      <c r="U25" s="43">
        <f t="shared" si="15"/>
        <v>0</v>
      </c>
      <c r="V25" s="42">
        <f t="shared" si="5"/>
        <v>0</v>
      </c>
      <c r="W25" s="43"/>
      <c r="X25" s="43">
        <f t="shared" si="16"/>
        <v>0</v>
      </c>
      <c r="Y25" s="42">
        <f t="shared" si="7"/>
        <v>0</v>
      </c>
      <c r="Z25" s="43"/>
      <c r="AA25" s="43">
        <f t="shared" si="8"/>
        <v>0</v>
      </c>
      <c r="AB25" s="42">
        <f t="shared" si="13"/>
        <v>0</v>
      </c>
      <c r="AC25" s="43">
        <v>105.6074</v>
      </c>
      <c r="AD25" s="43">
        <f t="shared" si="9"/>
        <v>105.6074</v>
      </c>
      <c r="AE25" s="42">
        <f t="shared" si="10"/>
        <v>0.281619733333333</v>
      </c>
      <c r="AF25" s="43">
        <v>91.9263</v>
      </c>
      <c r="AG25" s="43">
        <f t="shared" si="11"/>
        <v>197.5337</v>
      </c>
      <c r="AH25" s="42">
        <f t="shared" si="12"/>
        <v>0.526756533333333</v>
      </c>
    </row>
    <row r="26" s="4" customFormat="1" ht="180" customHeight="1" spans="1:34">
      <c r="A26" s="19">
        <v>20</v>
      </c>
      <c r="B26" s="20" t="s">
        <v>81</v>
      </c>
      <c r="C26" s="20" t="s">
        <v>82</v>
      </c>
      <c r="D26" s="21">
        <f t="shared" si="17"/>
        <v>832.324148</v>
      </c>
      <c r="E26" s="21">
        <f t="shared" si="14"/>
        <v>832.324148</v>
      </c>
      <c r="F26" s="19">
        <f>523+309.324148</f>
        <v>832.324148</v>
      </c>
      <c r="G26" s="23"/>
      <c r="H26" s="19"/>
      <c r="I26" s="19"/>
      <c r="J26" s="19"/>
      <c r="K26" s="19"/>
      <c r="L26" s="19"/>
      <c r="M26" s="19"/>
      <c r="N26" s="19"/>
      <c r="O26" s="19"/>
      <c r="P26" s="19"/>
      <c r="Q26" s="19" t="s">
        <v>68</v>
      </c>
      <c r="R26" s="19"/>
      <c r="S26" s="42">
        <f t="shared" si="3"/>
        <v>0</v>
      </c>
      <c r="T26" s="43"/>
      <c r="U26" s="43">
        <f t="shared" si="15"/>
        <v>0</v>
      </c>
      <c r="V26" s="42">
        <f t="shared" si="5"/>
        <v>0</v>
      </c>
      <c r="W26" s="43"/>
      <c r="X26" s="43">
        <f t="shared" si="16"/>
        <v>0</v>
      </c>
      <c r="Y26" s="42">
        <f t="shared" si="7"/>
        <v>0</v>
      </c>
      <c r="Z26" s="43"/>
      <c r="AA26" s="43">
        <f t="shared" si="8"/>
        <v>0</v>
      </c>
      <c r="AB26" s="42">
        <f t="shared" ref="AB26:AB39" si="18">AA26/D26</f>
        <v>0</v>
      </c>
      <c r="AC26" s="43"/>
      <c r="AD26" s="43">
        <f t="shared" si="9"/>
        <v>0</v>
      </c>
      <c r="AE26" s="42">
        <f t="shared" si="10"/>
        <v>0</v>
      </c>
      <c r="AF26" s="43">
        <v>257.37934</v>
      </c>
      <c r="AG26" s="43">
        <f t="shared" si="11"/>
        <v>257.37934</v>
      </c>
      <c r="AH26" s="42">
        <f t="shared" si="12"/>
        <v>0.309229692083859</v>
      </c>
    </row>
    <row r="27" s="4" customFormat="1" ht="180" customHeight="1" spans="1:34">
      <c r="A27" s="19">
        <v>21</v>
      </c>
      <c r="B27" s="20" t="s">
        <v>83</v>
      </c>
      <c r="C27" s="20" t="s">
        <v>84</v>
      </c>
      <c r="D27" s="21">
        <f t="shared" si="17"/>
        <v>258.13</v>
      </c>
      <c r="E27" s="21">
        <f t="shared" si="14"/>
        <v>258.13</v>
      </c>
      <c r="F27" s="19">
        <f>200+65-6.87</f>
        <v>258.13</v>
      </c>
      <c r="G27" s="23"/>
      <c r="H27" s="19"/>
      <c r="I27" s="19"/>
      <c r="J27" s="19"/>
      <c r="K27" s="19"/>
      <c r="L27" s="19"/>
      <c r="M27" s="19"/>
      <c r="N27" s="19"/>
      <c r="O27" s="19"/>
      <c r="P27" s="19"/>
      <c r="Q27" s="19" t="s">
        <v>68</v>
      </c>
      <c r="R27" s="19"/>
      <c r="S27" s="42">
        <f t="shared" si="3"/>
        <v>0</v>
      </c>
      <c r="T27" s="43"/>
      <c r="U27" s="43">
        <f t="shared" si="15"/>
        <v>0</v>
      </c>
      <c r="V27" s="42">
        <f t="shared" si="5"/>
        <v>0</v>
      </c>
      <c r="W27" s="43"/>
      <c r="X27" s="43">
        <f t="shared" si="16"/>
        <v>0</v>
      </c>
      <c r="Y27" s="42">
        <f t="shared" si="7"/>
        <v>0</v>
      </c>
      <c r="Z27" s="43"/>
      <c r="AA27" s="43">
        <f t="shared" si="8"/>
        <v>0</v>
      </c>
      <c r="AB27" s="42">
        <f t="shared" si="18"/>
        <v>0</v>
      </c>
      <c r="AC27" s="43"/>
      <c r="AD27" s="43">
        <f t="shared" si="9"/>
        <v>0</v>
      </c>
      <c r="AE27" s="42">
        <f t="shared" si="10"/>
        <v>0</v>
      </c>
      <c r="AF27" s="43">
        <v>79.425077</v>
      </c>
      <c r="AG27" s="43">
        <f t="shared" si="11"/>
        <v>79.425077</v>
      </c>
      <c r="AH27" s="42">
        <f t="shared" si="12"/>
        <v>0.30769409599814</v>
      </c>
    </row>
    <row r="28" s="4" customFormat="1" ht="180" customHeight="1" spans="1:34">
      <c r="A28" s="19">
        <v>22</v>
      </c>
      <c r="B28" s="20" t="s">
        <v>85</v>
      </c>
      <c r="C28" s="20" t="s">
        <v>86</v>
      </c>
      <c r="D28" s="21">
        <f t="shared" si="17"/>
        <v>375</v>
      </c>
      <c r="E28" s="21">
        <f t="shared" si="14"/>
        <v>375</v>
      </c>
      <c r="F28" s="19"/>
      <c r="G28" s="19">
        <v>375</v>
      </c>
      <c r="H28" s="19"/>
      <c r="I28" s="19"/>
      <c r="J28" s="19"/>
      <c r="K28" s="19"/>
      <c r="L28" s="19"/>
      <c r="M28" s="19"/>
      <c r="N28" s="19"/>
      <c r="O28" s="19"/>
      <c r="P28" s="19"/>
      <c r="Q28" s="19" t="s">
        <v>87</v>
      </c>
      <c r="R28" s="19"/>
      <c r="S28" s="42">
        <f t="shared" si="3"/>
        <v>0</v>
      </c>
      <c r="T28" s="43"/>
      <c r="U28" s="43">
        <f t="shared" si="15"/>
        <v>0</v>
      </c>
      <c r="V28" s="42">
        <f t="shared" si="5"/>
        <v>0</v>
      </c>
      <c r="W28" s="43"/>
      <c r="X28" s="43">
        <f t="shared" si="16"/>
        <v>0</v>
      </c>
      <c r="Y28" s="42">
        <f t="shared" si="7"/>
        <v>0</v>
      </c>
      <c r="Z28" s="43"/>
      <c r="AA28" s="43">
        <f t="shared" si="8"/>
        <v>0</v>
      </c>
      <c r="AB28" s="42">
        <f t="shared" si="18"/>
        <v>0</v>
      </c>
      <c r="AC28" s="43">
        <v>121.632042</v>
      </c>
      <c r="AD28" s="43">
        <f t="shared" si="9"/>
        <v>121.632042</v>
      </c>
      <c r="AE28" s="42">
        <f t="shared" si="10"/>
        <v>0.324352112</v>
      </c>
      <c r="AF28" s="43">
        <v>98.07334</v>
      </c>
      <c r="AG28" s="43">
        <f t="shared" si="11"/>
        <v>219.705382</v>
      </c>
      <c r="AH28" s="42">
        <f t="shared" si="12"/>
        <v>0.585881018666667</v>
      </c>
    </row>
    <row r="29" s="4" customFormat="1" ht="180" customHeight="1" spans="1:34">
      <c r="A29" s="19">
        <v>23</v>
      </c>
      <c r="B29" s="20" t="s">
        <v>88</v>
      </c>
      <c r="C29" s="20" t="s">
        <v>89</v>
      </c>
      <c r="D29" s="21">
        <f t="shared" si="17"/>
        <v>1268.900974</v>
      </c>
      <c r="E29" s="21">
        <f t="shared" si="14"/>
        <v>1268.900974</v>
      </c>
      <c r="F29" s="19">
        <v>497.900974</v>
      </c>
      <c r="G29" s="19">
        <v>771</v>
      </c>
      <c r="H29" s="19"/>
      <c r="I29" s="19"/>
      <c r="J29" s="19"/>
      <c r="K29" s="19"/>
      <c r="L29" s="19"/>
      <c r="M29" s="19"/>
      <c r="N29" s="19"/>
      <c r="O29" s="19"/>
      <c r="P29" s="19"/>
      <c r="Q29" s="19" t="s">
        <v>59</v>
      </c>
      <c r="R29" s="19"/>
      <c r="S29" s="42">
        <f t="shared" si="3"/>
        <v>0</v>
      </c>
      <c r="T29" s="43"/>
      <c r="U29" s="43">
        <f t="shared" si="15"/>
        <v>0</v>
      </c>
      <c r="V29" s="42">
        <f t="shared" si="5"/>
        <v>0</v>
      </c>
      <c r="W29" s="43"/>
      <c r="X29" s="43">
        <f t="shared" si="16"/>
        <v>0</v>
      </c>
      <c r="Y29" s="42">
        <f t="shared" si="7"/>
        <v>0</v>
      </c>
      <c r="Z29" s="43"/>
      <c r="AA29" s="43">
        <f t="shared" si="8"/>
        <v>0</v>
      </c>
      <c r="AB29" s="42">
        <f t="shared" si="18"/>
        <v>0</v>
      </c>
      <c r="AC29" s="43">
        <v>320.670292</v>
      </c>
      <c r="AD29" s="43">
        <f t="shared" si="9"/>
        <v>320.670292</v>
      </c>
      <c r="AE29" s="42">
        <f t="shared" si="10"/>
        <v>0.25271498609473</v>
      </c>
      <c r="AF29" s="43"/>
      <c r="AG29" s="43">
        <f t="shared" si="11"/>
        <v>320.670292</v>
      </c>
      <c r="AH29" s="42">
        <f t="shared" si="12"/>
        <v>0.252714986094731</v>
      </c>
    </row>
    <row r="30" s="4" customFormat="1" ht="180" customHeight="1" spans="1:34">
      <c r="A30" s="19">
        <v>24</v>
      </c>
      <c r="B30" s="20" t="s">
        <v>90</v>
      </c>
      <c r="C30" s="20" t="s">
        <v>50</v>
      </c>
      <c r="D30" s="21">
        <f t="shared" si="17"/>
        <v>355</v>
      </c>
      <c r="E30" s="21">
        <f t="shared" si="14"/>
        <v>355</v>
      </c>
      <c r="F30" s="19">
        <f>360-5</f>
        <v>355</v>
      </c>
      <c r="G30" s="23"/>
      <c r="H30" s="19"/>
      <c r="I30" s="19"/>
      <c r="J30" s="19"/>
      <c r="K30" s="19"/>
      <c r="L30" s="19"/>
      <c r="M30" s="19"/>
      <c r="N30" s="19"/>
      <c r="O30" s="19"/>
      <c r="P30" s="19"/>
      <c r="Q30" s="19" t="s">
        <v>51</v>
      </c>
      <c r="R30" s="19"/>
      <c r="S30" s="42">
        <f t="shared" si="3"/>
        <v>0</v>
      </c>
      <c r="T30" s="43"/>
      <c r="U30" s="43">
        <f t="shared" si="15"/>
        <v>0</v>
      </c>
      <c r="V30" s="42">
        <f t="shared" si="5"/>
        <v>0</v>
      </c>
      <c r="W30" s="43"/>
      <c r="X30" s="43">
        <f t="shared" si="16"/>
        <v>0</v>
      </c>
      <c r="Y30" s="42">
        <f t="shared" si="7"/>
        <v>0</v>
      </c>
      <c r="Z30" s="43">
        <v>118.7559</v>
      </c>
      <c r="AA30" s="43">
        <f t="shared" si="8"/>
        <v>118.7559</v>
      </c>
      <c r="AB30" s="42">
        <f t="shared" si="18"/>
        <v>0.334523661971831</v>
      </c>
      <c r="AC30" s="43"/>
      <c r="AD30" s="43">
        <f t="shared" si="9"/>
        <v>118.7559</v>
      </c>
      <c r="AE30" s="42">
        <f t="shared" si="10"/>
        <v>0.334523661971831</v>
      </c>
      <c r="AF30" s="43"/>
      <c r="AG30" s="43">
        <f t="shared" si="11"/>
        <v>118.7559</v>
      </c>
      <c r="AH30" s="42">
        <f t="shared" si="12"/>
        <v>0.334523661971831</v>
      </c>
    </row>
    <row r="31" s="4" customFormat="1" ht="180" customHeight="1" spans="1:34">
      <c r="A31" s="19">
        <v>25</v>
      </c>
      <c r="B31" s="20" t="s">
        <v>91</v>
      </c>
      <c r="C31" s="20" t="s">
        <v>92</v>
      </c>
      <c r="D31" s="21">
        <f t="shared" si="17"/>
        <v>382</v>
      </c>
      <c r="E31" s="21">
        <f t="shared" si="14"/>
        <v>382</v>
      </c>
      <c r="F31" s="19">
        <f>387-5</f>
        <v>382</v>
      </c>
      <c r="G31" s="23"/>
      <c r="H31" s="19"/>
      <c r="I31" s="19"/>
      <c r="J31" s="19"/>
      <c r="K31" s="19"/>
      <c r="L31" s="19"/>
      <c r="M31" s="19"/>
      <c r="N31" s="19"/>
      <c r="O31" s="19"/>
      <c r="P31" s="19"/>
      <c r="Q31" s="19" t="s">
        <v>51</v>
      </c>
      <c r="R31" s="19"/>
      <c r="S31" s="42">
        <f t="shared" si="3"/>
        <v>0</v>
      </c>
      <c r="T31" s="43"/>
      <c r="U31" s="43">
        <f t="shared" si="15"/>
        <v>0</v>
      </c>
      <c r="V31" s="42">
        <f t="shared" si="5"/>
        <v>0</v>
      </c>
      <c r="W31" s="43"/>
      <c r="X31" s="43">
        <f t="shared" si="16"/>
        <v>0</v>
      </c>
      <c r="Y31" s="42">
        <f t="shared" si="7"/>
        <v>0</v>
      </c>
      <c r="Z31" s="43">
        <v>107.131773</v>
      </c>
      <c r="AA31" s="43">
        <f t="shared" si="8"/>
        <v>107.131773</v>
      </c>
      <c r="AB31" s="42">
        <f t="shared" si="18"/>
        <v>0.280449667539267</v>
      </c>
      <c r="AC31" s="43">
        <v>188.0773</v>
      </c>
      <c r="AD31" s="43">
        <f t="shared" si="9"/>
        <v>295.209073</v>
      </c>
      <c r="AE31" s="42">
        <f t="shared" si="10"/>
        <v>0.772798620418848</v>
      </c>
      <c r="AF31" s="43"/>
      <c r="AG31" s="43">
        <f t="shared" si="11"/>
        <v>295.209073</v>
      </c>
      <c r="AH31" s="42">
        <f t="shared" si="12"/>
        <v>0.772798620418848</v>
      </c>
    </row>
    <row r="32" s="4" customFormat="1" ht="180" customHeight="1" spans="1:34">
      <c r="A32" s="19">
        <v>26</v>
      </c>
      <c r="B32" s="20" t="s">
        <v>93</v>
      </c>
      <c r="C32" s="24" t="s">
        <v>94</v>
      </c>
      <c r="D32" s="21">
        <f t="shared" si="17"/>
        <v>659</v>
      </c>
      <c r="E32" s="21">
        <f t="shared" si="14"/>
        <v>659</v>
      </c>
      <c r="F32" s="19"/>
      <c r="G32" s="19">
        <v>659</v>
      </c>
      <c r="H32" s="19"/>
      <c r="I32" s="19"/>
      <c r="J32" s="19"/>
      <c r="K32" s="19"/>
      <c r="L32" s="19"/>
      <c r="M32" s="19"/>
      <c r="N32" s="19"/>
      <c r="O32" s="19"/>
      <c r="P32" s="19"/>
      <c r="Q32" s="19" t="s">
        <v>95</v>
      </c>
      <c r="R32" s="19"/>
      <c r="S32" s="42">
        <f t="shared" si="3"/>
        <v>0</v>
      </c>
      <c r="T32" s="43"/>
      <c r="U32" s="43">
        <f t="shared" si="15"/>
        <v>0</v>
      </c>
      <c r="V32" s="42">
        <f t="shared" si="5"/>
        <v>0</v>
      </c>
      <c r="W32" s="43"/>
      <c r="X32" s="43">
        <f t="shared" si="16"/>
        <v>0</v>
      </c>
      <c r="Y32" s="42">
        <f t="shared" si="7"/>
        <v>0</v>
      </c>
      <c r="Z32" s="43"/>
      <c r="AA32" s="43">
        <f t="shared" si="8"/>
        <v>0</v>
      </c>
      <c r="AB32" s="42">
        <f t="shared" si="18"/>
        <v>0</v>
      </c>
      <c r="AC32" s="43"/>
      <c r="AD32" s="43">
        <f t="shared" si="9"/>
        <v>0</v>
      </c>
      <c r="AE32" s="42">
        <f t="shared" si="10"/>
        <v>0</v>
      </c>
      <c r="AF32" s="43"/>
      <c r="AG32" s="43">
        <f t="shared" si="11"/>
        <v>0</v>
      </c>
      <c r="AH32" s="42">
        <f t="shared" si="12"/>
        <v>0</v>
      </c>
    </row>
    <row r="33" s="4" customFormat="1" ht="180" customHeight="1" spans="1:34">
      <c r="A33" s="19">
        <v>27</v>
      </c>
      <c r="B33" s="20" t="s">
        <v>96</v>
      </c>
      <c r="C33" s="20" t="s">
        <v>97</v>
      </c>
      <c r="D33" s="21">
        <f t="shared" si="17"/>
        <v>350</v>
      </c>
      <c r="E33" s="21">
        <f t="shared" si="14"/>
        <v>350</v>
      </c>
      <c r="F33" s="19"/>
      <c r="G33" s="19">
        <v>350</v>
      </c>
      <c r="H33" s="19"/>
      <c r="I33" s="19"/>
      <c r="J33" s="19"/>
      <c r="K33" s="19"/>
      <c r="L33" s="19"/>
      <c r="M33" s="19"/>
      <c r="N33" s="19"/>
      <c r="O33" s="19"/>
      <c r="P33" s="19"/>
      <c r="Q33" s="19" t="s">
        <v>98</v>
      </c>
      <c r="R33" s="19"/>
      <c r="S33" s="42">
        <f t="shared" si="3"/>
        <v>0</v>
      </c>
      <c r="T33" s="43"/>
      <c r="U33" s="43">
        <f t="shared" si="15"/>
        <v>0</v>
      </c>
      <c r="V33" s="42">
        <f t="shared" si="5"/>
        <v>0</v>
      </c>
      <c r="W33" s="43"/>
      <c r="X33" s="43">
        <f t="shared" si="16"/>
        <v>0</v>
      </c>
      <c r="Y33" s="42">
        <f t="shared" si="7"/>
        <v>0</v>
      </c>
      <c r="Z33" s="43"/>
      <c r="AA33" s="43">
        <f t="shared" si="8"/>
        <v>0</v>
      </c>
      <c r="AB33" s="42">
        <f t="shared" si="18"/>
        <v>0</v>
      </c>
      <c r="AC33" s="43"/>
      <c r="AD33" s="43">
        <f t="shared" si="9"/>
        <v>0</v>
      </c>
      <c r="AE33" s="42">
        <f t="shared" si="10"/>
        <v>0</v>
      </c>
      <c r="AF33" s="43"/>
      <c r="AG33" s="43">
        <f t="shared" si="11"/>
        <v>0</v>
      </c>
      <c r="AH33" s="42">
        <f t="shared" si="12"/>
        <v>0</v>
      </c>
    </row>
    <row r="34" s="4" customFormat="1" ht="180" customHeight="1" spans="1:34">
      <c r="A34" s="19">
        <v>28</v>
      </c>
      <c r="B34" s="20" t="s">
        <v>99</v>
      </c>
      <c r="C34" s="20" t="s">
        <v>100</v>
      </c>
      <c r="D34" s="21">
        <f t="shared" si="17"/>
        <v>665</v>
      </c>
      <c r="E34" s="21">
        <f t="shared" si="14"/>
        <v>665</v>
      </c>
      <c r="F34" s="19"/>
      <c r="G34" s="19">
        <v>0</v>
      </c>
      <c r="H34" s="19"/>
      <c r="I34" s="19">
        <v>665</v>
      </c>
      <c r="J34" s="19"/>
      <c r="K34" s="19"/>
      <c r="L34" s="19"/>
      <c r="M34" s="19"/>
      <c r="N34" s="19"/>
      <c r="O34" s="19"/>
      <c r="P34" s="19"/>
      <c r="Q34" s="19" t="s">
        <v>101</v>
      </c>
      <c r="R34" s="19"/>
      <c r="S34" s="42">
        <f t="shared" si="3"/>
        <v>0</v>
      </c>
      <c r="T34" s="43"/>
      <c r="U34" s="43">
        <f t="shared" si="15"/>
        <v>0</v>
      </c>
      <c r="V34" s="42">
        <f t="shared" si="5"/>
        <v>0</v>
      </c>
      <c r="W34" s="43"/>
      <c r="X34" s="43">
        <f t="shared" si="16"/>
        <v>0</v>
      </c>
      <c r="Y34" s="42">
        <f t="shared" si="7"/>
        <v>0</v>
      </c>
      <c r="Z34" s="43">
        <v>217.287733</v>
      </c>
      <c r="AA34" s="43">
        <f t="shared" si="8"/>
        <v>217.287733</v>
      </c>
      <c r="AB34" s="42">
        <f t="shared" si="18"/>
        <v>0.326748470676692</v>
      </c>
      <c r="AC34" s="43">
        <v>144.858489</v>
      </c>
      <c r="AD34" s="43">
        <f t="shared" si="9"/>
        <v>362.146222</v>
      </c>
      <c r="AE34" s="42">
        <f t="shared" si="10"/>
        <v>0.544580784962406</v>
      </c>
      <c r="AF34" s="43">
        <v>225.373283</v>
      </c>
      <c r="AG34" s="43">
        <f t="shared" si="11"/>
        <v>587.519505</v>
      </c>
      <c r="AH34" s="42">
        <f t="shared" si="12"/>
        <v>0.883487977443609</v>
      </c>
    </row>
    <row r="35" s="4" customFormat="1" ht="180" customHeight="1" spans="1:34">
      <c r="A35" s="19">
        <v>29</v>
      </c>
      <c r="B35" s="20" t="s">
        <v>102</v>
      </c>
      <c r="C35" s="20" t="s">
        <v>103</v>
      </c>
      <c r="D35" s="21">
        <f t="shared" si="17"/>
        <v>359.619734</v>
      </c>
      <c r="E35" s="21">
        <f t="shared" si="14"/>
        <v>359.619734</v>
      </c>
      <c r="F35" s="19">
        <f>104-20.380266</f>
        <v>83.619734</v>
      </c>
      <c r="G35" s="23"/>
      <c r="H35" s="19"/>
      <c r="I35" s="19">
        <v>276</v>
      </c>
      <c r="J35" s="19"/>
      <c r="K35" s="19"/>
      <c r="L35" s="19"/>
      <c r="M35" s="19"/>
      <c r="N35" s="19"/>
      <c r="O35" s="19"/>
      <c r="P35" s="19"/>
      <c r="Q35" s="19" t="s">
        <v>104</v>
      </c>
      <c r="R35" s="19"/>
      <c r="S35" s="42">
        <f t="shared" si="3"/>
        <v>0</v>
      </c>
      <c r="T35" s="43"/>
      <c r="U35" s="43">
        <f t="shared" si="15"/>
        <v>0</v>
      </c>
      <c r="V35" s="42">
        <f t="shared" si="5"/>
        <v>0</v>
      </c>
      <c r="W35" s="43">
        <v>114.7877</v>
      </c>
      <c r="X35" s="43">
        <f t="shared" si="16"/>
        <v>114.7877</v>
      </c>
      <c r="Y35" s="42">
        <f t="shared" si="7"/>
        <v>0.319191882834772</v>
      </c>
      <c r="Z35" s="43">
        <v>93.3802</v>
      </c>
      <c r="AA35" s="43">
        <f t="shared" si="8"/>
        <v>208.1679</v>
      </c>
      <c r="AB35" s="42">
        <f t="shared" si="18"/>
        <v>0.578855608630198</v>
      </c>
      <c r="AC35" s="43">
        <v>100.7802</v>
      </c>
      <c r="AD35" s="43">
        <f t="shared" si="9"/>
        <v>308.9481</v>
      </c>
      <c r="AE35" s="42">
        <f t="shared" si="10"/>
        <v>0.859096625659592</v>
      </c>
      <c r="AF35" s="43"/>
      <c r="AG35" s="43">
        <f t="shared" si="11"/>
        <v>308.9481</v>
      </c>
      <c r="AH35" s="42">
        <f t="shared" si="12"/>
        <v>0.859096625659592</v>
      </c>
    </row>
    <row r="36" s="4" customFormat="1" ht="180" customHeight="1" spans="1:34">
      <c r="A36" s="19">
        <v>30</v>
      </c>
      <c r="B36" s="20" t="s">
        <v>105</v>
      </c>
      <c r="C36" s="20" t="s">
        <v>106</v>
      </c>
      <c r="D36" s="21">
        <f t="shared" si="17"/>
        <v>700</v>
      </c>
      <c r="E36" s="21">
        <f t="shared" si="14"/>
        <v>700</v>
      </c>
      <c r="F36" s="19">
        <v>700</v>
      </c>
      <c r="G36" s="23"/>
      <c r="H36" s="19"/>
      <c r="I36" s="19"/>
      <c r="J36" s="19"/>
      <c r="K36" s="19"/>
      <c r="L36" s="19"/>
      <c r="M36" s="19"/>
      <c r="N36" s="19"/>
      <c r="O36" s="19"/>
      <c r="P36" s="19"/>
      <c r="Q36" s="19" t="s">
        <v>101</v>
      </c>
      <c r="R36" s="19"/>
      <c r="S36" s="42">
        <f t="shared" si="3"/>
        <v>0</v>
      </c>
      <c r="T36" s="43"/>
      <c r="U36" s="43">
        <f t="shared" si="15"/>
        <v>0</v>
      </c>
      <c r="V36" s="42">
        <f t="shared" si="5"/>
        <v>0</v>
      </c>
      <c r="W36" s="43">
        <v>278.586576</v>
      </c>
      <c r="X36" s="43">
        <f t="shared" si="16"/>
        <v>278.586576</v>
      </c>
      <c r="Y36" s="42">
        <f t="shared" si="7"/>
        <v>0.397980822857143</v>
      </c>
      <c r="Z36" s="43"/>
      <c r="AA36" s="43">
        <f t="shared" si="8"/>
        <v>278.586576</v>
      </c>
      <c r="AB36" s="42">
        <f t="shared" si="18"/>
        <v>0.397980822857143</v>
      </c>
      <c r="AC36" s="43">
        <f>1.94439+185.724384</f>
        <v>187.668774</v>
      </c>
      <c r="AD36" s="43">
        <f t="shared" si="9"/>
        <v>466.25535</v>
      </c>
      <c r="AE36" s="42">
        <f t="shared" si="10"/>
        <v>0.666079071428571</v>
      </c>
      <c r="AF36" s="43">
        <v>119.44389</v>
      </c>
      <c r="AG36" s="43">
        <f t="shared" si="11"/>
        <v>585.69924</v>
      </c>
      <c r="AH36" s="42">
        <f t="shared" si="12"/>
        <v>0.8367132</v>
      </c>
    </row>
    <row r="37" s="4" customFormat="1" ht="93" customHeight="1" spans="1:34">
      <c r="A37" s="19">
        <v>31</v>
      </c>
      <c r="B37" s="20" t="s">
        <v>107</v>
      </c>
      <c r="C37" s="20" t="s">
        <v>106</v>
      </c>
      <c r="D37" s="21">
        <f t="shared" si="17"/>
        <v>821.843269</v>
      </c>
      <c r="E37" s="21">
        <f t="shared" si="14"/>
        <v>821.843269</v>
      </c>
      <c r="F37" s="19">
        <f>500+321.843269</f>
        <v>821.843269</v>
      </c>
      <c r="G37" s="23"/>
      <c r="H37" s="19"/>
      <c r="I37" s="19"/>
      <c r="J37" s="19"/>
      <c r="K37" s="19"/>
      <c r="L37" s="19"/>
      <c r="M37" s="19"/>
      <c r="N37" s="19"/>
      <c r="O37" s="19"/>
      <c r="P37" s="19"/>
      <c r="Q37" s="19" t="s">
        <v>64</v>
      </c>
      <c r="R37" s="19"/>
      <c r="S37" s="42">
        <f t="shared" si="3"/>
        <v>0</v>
      </c>
      <c r="T37" s="43"/>
      <c r="U37" s="43">
        <f t="shared" si="15"/>
        <v>0</v>
      </c>
      <c r="V37" s="42">
        <f t="shared" si="5"/>
        <v>0</v>
      </c>
      <c r="W37" s="43">
        <v>273.880097</v>
      </c>
      <c r="X37" s="43">
        <f t="shared" si="16"/>
        <v>273.880097</v>
      </c>
      <c r="Y37" s="42">
        <f t="shared" si="7"/>
        <v>0.333251007011654</v>
      </c>
      <c r="Z37" s="43"/>
      <c r="AA37" s="43">
        <f t="shared" si="8"/>
        <v>273.880097</v>
      </c>
      <c r="AB37" s="42">
        <f t="shared" si="18"/>
        <v>0.333251007011654</v>
      </c>
      <c r="AC37" s="43">
        <v>226.119303</v>
      </c>
      <c r="AD37" s="43">
        <f t="shared" si="9"/>
        <v>499.9994</v>
      </c>
      <c r="AE37" s="42">
        <f t="shared" si="10"/>
        <v>0.608387777645716</v>
      </c>
      <c r="AF37" s="43">
        <v>152.46235</v>
      </c>
      <c r="AG37" s="43">
        <f t="shared" si="11"/>
        <v>652.46175</v>
      </c>
      <c r="AH37" s="42">
        <f t="shared" si="12"/>
        <v>0.793900460843222</v>
      </c>
    </row>
    <row r="38" s="4" customFormat="1" ht="180" customHeight="1" spans="1:34">
      <c r="A38" s="19">
        <v>32</v>
      </c>
      <c r="B38" s="20" t="s">
        <v>108</v>
      </c>
      <c r="C38" s="20" t="s">
        <v>109</v>
      </c>
      <c r="D38" s="21">
        <f t="shared" si="17"/>
        <v>363.967491</v>
      </c>
      <c r="E38" s="21">
        <f t="shared" si="14"/>
        <v>363.967491</v>
      </c>
      <c r="F38" s="19">
        <f>350+13.967491</f>
        <v>363.967491</v>
      </c>
      <c r="G38" s="23"/>
      <c r="H38" s="19"/>
      <c r="I38" s="19"/>
      <c r="J38" s="19"/>
      <c r="K38" s="19"/>
      <c r="L38" s="19"/>
      <c r="M38" s="19"/>
      <c r="N38" s="19"/>
      <c r="O38" s="19"/>
      <c r="P38" s="19"/>
      <c r="Q38" s="19" t="s">
        <v>110</v>
      </c>
      <c r="R38" s="19"/>
      <c r="S38" s="42">
        <f t="shared" si="3"/>
        <v>0</v>
      </c>
      <c r="T38" s="43"/>
      <c r="U38" s="43">
        <f t="shared" si="15"/>
        <v>0</v>
      </c>
      <c r="V38" s="42">
        <f t="shared" si="5"/>
        <v>0</v>
      </c>
      <c r="W38" s="43">
        <v>114.6119</v>
      </c>
      <c r="X38" s="43">
        <f t="shared" si="16"/>
        <v>114.6119</v>
      </c>
      <c r="Y38" s="42">
        <f t="shared" si="7"/>
        <v>0.314895980641304</v>
      </c>
      <c r="Z38" s="43">
        <v>0.65</v>
      </c>
      <c r="AA38" s="43">
        <f t="shared" si="8"/>
        <v>115.2619</v>
      </c>
      <c r="AB38" s="42">
        <f t="shared" si="18"/>
        <v>0.316681854424191</v>
      </c>
      <c r="AC38" s="43">
        <v>104.0614</v>
      </c>
      <c r="AD38" s="43">
        <f t="shared" si="9"/>
        <v>219.3233</v>
      </c>
      <c r="AE38" s="42">
        <f t="shared" si="10"/>
        <v>0.602590356071114</v>
      </c>
      <c r="AF38" s="43">
        <v>100.8839</v>
      </c>
      <c r="AG38" s="43">
        <f t="shared" si="11"/>
        <v>320.2072</v>
      </c>
      <c r="AH38" s="42">
        <f t="shared" si="12"/>
        <v>0.879768682417848</v>
      </c>
    </row>
    <row r="39" s="4" customFormat="1" ht="180" customHeight="1" spans="1:34">
      <c r="A39" s="19">
        <v>33</v>
      </c>
      <c r="B39" s="20" t="s">
        <v>111</v>
      </c>
      <c r="C39" s="20" t="s">
        <v>112</v>
      </c>
      <c r="D39" s="21">
        <f t="shared" si="17"/>
        <v>882.2</v>
      </c>
      <c r="E39" s="21">
        <f t="shared" si="14"/>
        <v>882.2</v>
      </c>
      <c r="F39" s="19">
        <v>882.2</v>
      </c>
      <c r="G39" s="23"/>
      <c r="H39" s="19"/>
      <c r="I39" s="19"/>
      <c r="J39" s="19"/>
      <c r="K39" s="19"/>
      <c r="L39" s="19"/>
      <c r="M39" s="19"/>
      <c r="N39" s="19"/>
      <c r="O39" s="19"/>
      <c r="P39" s="19"/>
      <c r="Q39" s="19" t="s">
        <v>101</v>
      </c>
      <c r="R39" s="19"/>
      <c r="S39" s="42">
        <f t="shared" si="3"/>
        <v>0</v>
      </c>
      <c r="T39" s="43"/>
      <c r="U39" s="43">
        <f t="shared" si="15"/>
        <v>0</v>
      </c>
      <c r="V39" s="42">
        <f t="shared" si="5"/>
        <v>0</v>
      </c>
      <c r="W39" s="43">
        <v>311.085945</v>
      </c>
      <c r="X39" s="43">
        <f t="shared" si="16"/>
        <v>311.085945</v>
      </c>
      <c r="Y39" s="42">
        <f t="shared" si="7"/>
        <v>0.352625192700068</v>
      </c>
      <c r="Z39" s="43"/>
      <c r="AA39" s="43">
        <f t="shared" si="8"/>
        <v>311.085945</v>
      </c>
      <c r="AB39" s="42">
        <f t="shared" si="18"/>
        <v>0.352625192700068</v>
      </c>
      <c r="AC39" s="43">
        <f>2.2218+207.39063</f>
        <v>209.61243</v>
      </c>
      <c r="AD39" s="43">
        <f t="shared" si="9"/>
        <v>520.698375</v>
      </c>
      <c r="AE39" s="42">
        <f t="shared" si="10"/>
        <v>0.590227131036046</v>
      </c>
      <c r="AF39" s="43">
        <v>215.90333</v>
      </c>
      <c r="AG39" s="43">
        <f t="shared" si="11"/>
        <v>736.601705</v>
      </c>
      <c r="AH39" s="42">
        <f t="shared" si="12"/>
        <v>0.834959992065291</v>
      </c>
    </row>
    <row r="40" s="4" customFormat="1" ht="180" customHeight="1" spans="1:34">
      <c r="A40" s="19">
        <v>34</v>
      </c>
      <c r="B40" s="20" t="s">
        <v>113</v>
      </c>
      <c r="C40" s="20" t="s">
        <v>114</v>
      </c>
      <c r="D40" s="21">
        <f t="shared" si="17"/>
        <v>389</v>
      </c>
      <c r="E40" s="21">
        <f t="shared" si="14"/>
        <v>389</v>
      </c>
      <c r="F40" s="19">
        <v>389</v>
      </c>
      <c r="G40" s="23"/>
      <c r="H40" s="19"/>
      <c r="I40" s="19"/>
      <c r="J40" s="19"/>
      <c r="K40" s="19"/>
      <c r="L40" s="19"/>
      <c r="M40" s="19"/>
      <c r="N40" s="19"/>
      <c r="O40" s="19"/>
      <c r="P40" s="19"/>
      <c r="Q40" s="19" t="s">
        <v>87</v>
      </c>
      <c r="R40" s="19"/>
      <c r="S40" s="42">
        <f t="shared" si="3"/>
        <v>0</v>
      </c>
      <c r="T40" s="43"/>
      <c r="U40" s="43">
        <f t="shared" si="15"/>
        <v>0</v>
      </c>
      <c r="V40" s="42">
        <f t="shared" si="5"/>
        <v>0</v>
      </c>
      <c r="W40" s="43">
        <v>125.151777</v>
      </c>
      <c r="X40" s="43">
        <f t="shared" si="16"/>
        <v>125.151777</v>
      </c>
      <c r="Y40" s="42">
        <f t="shared" si="7"/>
        <v>0.321726933161954</v>
      </c>
      <c r="Z40" s="43">
        <v>100.714077</v>
      </c>
      <c r="AA40" s="43">
        <f t="shared" si="8"/>
        <v>225.865854</v>
      </c>
      <c r="AB40" s="42">
        <f t="shared" ref="AB40:AB60" si="19">AA40/D40</f>
        <v>0.580632015424165</v>
      </c>
      <c r="AC40" s="43">
        <v>100.714077</v>
      </c>
      <c r="AD40" s="43">
        <f t="shared" si="9"/>
        <v>326.579931</v>
      </c>
      <c r="AE40" s="42">
        <f t="shared" si="10"/>
        <v>0.839537097686375</v>
      </c>
      <c r="AF40" s="43"/>
      <c r="AG40" s="43">
        <f t="shared" si="11"/>
        <v>326.579931</v>
      </c>
      <c r="AH40" s="42">
        <f t="shared" si="12"/>
        <v>0.839537097686375</v>
      </c>
    </row>
    <row r="41" s="4" customFormat="1" ht="180" customHeight="1" spans="1:34">
      <c r="A41" s="19">
        <v>35</v>
      </c>
      <c r="B41" s="20" t="s">
        <v>115</v>
      </c>
      <c r="C41" s="20" t="s">
        <v>116</v>
      </c>
      <c r="D41" s="21">
        <f t="shared" si="17"/>
        <v>331.665173</v>
      </c>
      <c r="E41" s="21">
        <f t="shared" si="14"/>
        <v>331.665173</v>
      </c>
      <c r="F41" s="19">
        <f>389-57.334827</f>
        <v>331.665173</v>
      </c>
      <c r="G41" s="23"/>
      <c r="H41" s="19"/>
      <c r="I41" s="19"/>
      <c r="J41" s="19"/>
      <c r="K41" s="19"/>
      <c r="L41" s="19"/>
      <c r="M41" s="19"/>
      <c r="N41" s="19"/>
      <c r="O41" s="19"/>
      <c r="P41" s="19"/>
      <c r="Q41" s="19" t="s">
        <v>110</v>
      </c>
      <c r="R41" s="19"/>
      <c r="S41" s="42">
        <f t="shared" si="3"/>
        <v>0</v>
      </c>
      <c r="T41" s="43"/>
      <c r="U41" s="43">
        <f t="shared" si="15"/>
        <v>0</v>
      </c>
      <c r="V41" s="42">
        <f t="shared" si="5"/>
        <v>0</v>
      </c>
      <c r="W41" s="43">
        <v>109.90285</v>
      </c>
      <c r="X41" s="43">
        <f t="shared" si="16"/>
        <v>109.90285</v>
      </c>
      <c r="Y41" s="42">
        <f t="shared" si="7"/>
        <v>0.331366869200946</v>
      </c>
      <c r="Z41" s="43"/>
      <c r="AA41" s="43">
        <f t="shared" si="8"/>
        <v>109.90285</v>
      </c>
      <c r="AB41" s="42">
        <f t="shared" si="19"/>
        <v>0.331366869200946</v>
      </c>
      <c r="AC41" s="43">
        <v>90.9159</v>
      </c>
      <c r="AD41" s="43">
        <f t="shared" si="9"/>
        <v>200.81875</v>
      </c>
      <c r="AE41" s="42">
        <f t="shared" si="10"/>
        <v>0.605486395160338</v>
      </c>
      <c r="AF41" s="43">
        <v>88.2679</v>
      </c>
      <c r="AG41" s="43">
        <f t="shared" si="11"/>
        <v>289.08665</v>
      </c>
      <c r="AH41" s="42">
        <f t="shared" si="12"/>
        <v>0.871621965565857</v>
      </c>
    </row>
    <row r="42" s="4" customFormat="1" ht="180" customHeight="1" spans="1:34">
      <c r="A42" s="19">
        <v>36</v>
      </c>
      <c r="B42" s="20" t="s">
        <v>117</v>
      </c>
      <c r="C42" s="20" t="s">
        <v>118</v>
      </c>
      <c r="D42" s="21">
        <f t="shared" si="17"/>
        <v>370</v>
      </c>
      <c r="E42" s="21">
        <f t="shared" si="14"/>
        <v>370</v>
      </c>
      <c r="F42" s="19">
        <f>389-19</f>
        <v>370</v>
      </c>
      <c r="G42" s="23"/>
      <c r="H42" s="19"/>
      <c r="I42" s="19"/>
      <c r="J42" s="19"/>
      <c r="K42" s="19"/>
      <c r="L42" s="19"/>
      <c r="M42" s="19"/>
      <c r="N42" s="19"/>
      <c r="O42" s="19"/>
      <c r="P42" s="19"/>
      <c r="Q42" s="19" t="s">
        <v>59</v>
      </c>
      <c r="R42" s="19"/>
      <c r="S42" s="42">
        <f t="shared" si="3"/>
        <v>0</v>
      </c>
      <c r="T42" s="43"/>
      <c r="U42" s="43">
        <f t="shared" si="15"/>
        <v>0</v>
      </c>
      <c r="V42" s="42">
        <f t="shared" si="5"/>
        <v>0</v>
      </c>
      <c r="W42" s="43">
        <v>94.446464</v>
      </c>
      <c r="X42" s="43">
        <f t="shared" si="16"/>
        <v>94.446464</v>
      </c>
      <c r="Y42" s="42">
        <f t="shared" si="7"/>
        <v>0.255260713513514</v>
      </c>
      <c r="Z42" s="43"/>
      <c r="AA42" s="43">
        <f t="shared" si="8"/>
        <v>94.446464</v>
      </c>
      <c r="AB42" s="42">
        <f t="shared" si="19"/>
        <v>0.255260713513514</v>
      </c>
      <c r="AC42" s="43">
        <v>128.061464</v>
      </c>
      <c r="AD42" s="43">
        <f t="shared" si="9"/>
        <v>222.507928</v>
      </c>
      <c r="AE42" s="42">
        <f t="shared" si="10"/>
        <v>0.601372778378378</v>
      </c>
      <c r="AF42" s="43"/>
      <c r="AG42" s="43">
        <f t="shared" si="11"/>
        <v>222.507928</v>
      </c>
      <c r="AH42" s="42">
        <f t="shared" si="12"/>
        <v>0.601372778378378</v>
      </c>
    </row>
    <row r="43" s="4" customFormat="1" ht="180" customHeight="1" spans="1:34">
      <c r="A43" s="19">
        <v>37</v>
      </c>
      <c r="B43" s="20" t="s">
        <v>119</v>
      </c>
      <c r="C43" s="20" t="s">
        <v>120</v>
      </c>
      <c r="D43" s="21">
        <f t="shared" si="17"/>
        <v>355</v>
      </c>
      <c r="E43" s="21">
        <f t="shared" si="14"/>
        <v>355</v>
      </c>
      <c r="F43" s="19">
        <f>360-5</f>
        <v>355</v>
      </c>
      <c r="G43" s="23"/>
      <c r="H43" s="19"/>
      <c r="I43" s="19"/>
      <c r="J43" s="19"/>
      <c r="K43" s="19"/>
      <c r="L43" s="19"/>
      <c r="M43" s="19"/>
      <c r="N43" s="19"/>
      <c r="O43" s="19"/>
      <c r="P43" s="19"/>
      <c r="Q43" s="19" t="s">
        <v>51</v>
      </c>
      <c r="R43" s="19"/>
      <c r="S43" s="42">
        <f t="shared" si="3"/>
        <v>0</v>
      </c>
      <c r="T43" s="43"/>
      <c r="U43" s="43">
        <f t="shared" si="15"/>
        <v>0</v>
      </c>
      <c r="V43" s="42">
        <f t="shared" si="5"/>
        <v>0</v>
      </c>
      <c r="W43" s="43">
        <v>100.458265</v>
      </c>
      <c r="X43" s="43">
        <f t="shared" si="16"/>
        <v>100.458265</v>
      </c>
      <c r="Y43" s="42">
        <f t="shared" si="7"/>
        <v>0.282981028169014</v>
      </c>
      <c r="Z43" s="43"/>
      <c r="AA43" s="43">
        <f t="shared" si="8"/>
        <v>100.458265</v>
      </c>
      <c r="AB43" s="42">
        <f t="shared" si="19"/>
        <v>0.282981028169014</v>
      </c>
      <c r="AC43" s="43"/>
      <c r="AD43" s="43">
        <f t="shared" si="9"/>
        <v>100.458265</v>
      </c>
      <c r="AE43" s="42">
        <f t="shared" si="10"/>
        <v>0.282981028169014</v>
      </c>
      <c r="AF43" s="43">
        <v>173.332</v>
      </c>
      <c r="AG43" s="43">
        <f t="shared" si="11"/>
        <v>273.790265</v>
      </c>
      <c r="AH43" s="42">
        <f t="shared" si="12"/>
        <v>0.771240183098591</v>
      </c>
    </row>
    <row r="44" s="4" customFormat="1" ht="180" customHeight="1" spans="1:34">
      <c r="A44" s="19">
        <v>38</v>
      </c>
      <c r="B44" s="20" t="s">
        <v>121</v>
      </c>
      <c r="C44" s="20" t="s">
        <v>122</v>
      </c>
      <c r="D44" s="21">
        <f t="shared" si="17"/>
        <v>368.989094</v>
      </c>
      <c r="E44" s="21">
        <f t="shared" si="14"/>
        <v>368.989094</v>
      </c>
      <c r="F44" s="19">
        <f>389-20.010906</f>
        <v>368.989094</v>
      </c>
      <c r="G44" s="23"/>
      <c r="H44" s="19"/>
      <c r="I44" s="19"/>
      <c r="J44" s="19"/>
      <c r="K44" s="19"/>
      <c r="L44" s="19"/>
      <c r="M44" s="19"/>
      <c r="N44" s="19"/>
      <c r="O44" s="19"/>
      <c r="P44" s="19"/>
      <c r="Q44" s="19" t="s">
        <v>54</v>
      </c>
      <c r="R44" s="19"/>
      <c r="S44" s="42">
        <f t="shared" si="3"/>
        <v>0</v>
      </c>
      <c r="T44" s="43"/>
      <c r="U44" s="43">
        <f t="shared" si="15"/>
        <v>0</v>
      </c>
      <c r="V44" s="42">
        <f t="shared" si="5"/>
        <v>0</v>
      </c>
      <c r="W44" s="43">
        <v>135.382723</v>
      </c>
      <c r="X44" s="43">
        <f t="shared" si="16"/>
        <v>135.382723</v>
      </c>
      <c r="Y44" s="42">
        <f t="shared" si="7"/>
        <v>0.36690169222183</v>
      </c>
      <c r="Z44" s="43">
        <v>97.9775</v>
      </c>
      <c r="AA44" s="43">
        <f t="shared" si="8"/>
        <v>233.360223</v>
      </c>
      <c r="AB44" s="42">
        <f t="shared" si="19"/>
        <v>0.632431220311351</v>
      </c>
      <c r="AC44" s="43"/>
      <c r="AD44" s="43">
        <f t="shared" si="9"/>
        <v>233.360223</v>
      </c>
      <c r="AE44" s="42">
        <f t="shared" si="10"/>
        <v>0.632431220311352</v>
      </c>
      <c r="AF44" s="43">
        <v>97.9775</v>
      </c>
      <c r="AG44" s="43">
        <f t="shared" si="11"/>
        <v>331.337723</v>
      </c>
      <c r="AH44" s="42">
        <f t="shared" si="12"/>
        <v>0.897960748400873</v>
      </c>
    </row>
    <row r="45" s="4" customFormat="1" ht="180" customHeight="1" spans="1:34">
      <c r="A45" s="19">
        <v>39</v>
      </c>
      <c r="B45" s="20" t="s">
        <v>123</v>
      </c>
      <c r="C45" s="20" t="s">
        <v>124</v>
      </c>
      <c r="D45" s="21">
        <f t="shared" si="17"/>
        <v>700</v>
      </c>
      <c r="E45" s="21">
        <f t="shared" si="14"/>
        <v>700</v>
      </c>
      <c r="F45" s="19">
        <v>700</v>
      </c>
      <c r="G45" s="23"/>
      <c r="H45" s="19"/>
      <c r="I45" s="19"/>
      <c r="J45" s="19"/>
      <c r="K45" s="19"/>
      <c r="L45" s="19"/>
      <c r="M45" s="19"/>
      <c r="N45" s="19"/>
      <c r="O45" s="19"/>
      <c r="P45" s="19"/>
      <c r="Q45" s="19" t="s">
        <v>101</v>
      </c>
      <c r="R45" s="19"/>
      <c r="S45" s="42">
        <f t="shared" si="3"/>
        <v>0</v>
      </c>
      <c r="T45" s="43"/>
      <c r="U45" s="43">
        <f t="shared" si="15"/>
        <v>0</v>
      </c>
      <c r="V45" s="42">
        <f t="shared" si="5"/>
        <v>0</v>
      </c>
      <c r="W45" s="43">
        <v>194.225173</v>
      </c>
      <c r="X45" s="43">
        <f t="shared" si="16"/>
        <v>194.225173</v>
      </c>
      <c r="Y45" s="42">
        <f t="shared" si="7"/>
        <v>0.277464532857143</v>
      </c>
      <c r="Z45" s="43"/>
      <c r="AA45" s="43">
        <f t="shared" si="8"/>
        <v>194.225173</v>
      </c>
      <c r="AB45" s="42">
        <f t="shared" si="19"/>
        <v>0.277464532857143</v>
      </c>
      <c r="AC45" s="43">
        <f>2.3414+129.483449</f>
        <v>131.824849</v>
      </c>
      <c r="AD45" s="43">
        <f t="shared" si="9"/>
        <v>326.050022</v>
      </c>
      <c r="AE45" s="42">
        <f t="shared" si="10"/>
        <v>0.465785745714286</v>
      </c>
      <c r="AF45" s="43">
        <v>82.495269</v>
      </c>
      <c r="AG45" s="43">
        <f t="shared" si="11"/>
        <v>408.545291</v>
      </c>
      <c r="AH45" s="42">
        <f t="shared" si="12"/>
        <v>0.58363613</v>
      </c>
    </row>
    <row r="46" s="4" customFormat="1" ht="93" customHeight="1" spans="1:34">
      <c r="A46" s="19">
        <v>40</v>
      </c>
      <c r="B46" s="20" t="s">
        <v>125</v>
      </c>
      <c r="C46" s="20" t="s">
        <v>126</v>
      </c>
      <c r="D46" s="21">
        <f t="shared" si="17"/>
        <v>366.30922</v>
      </c>
      <c r="E46" s="21">
        <f t="shared" si="14"/>
        <v>366.30922</v>
      </c>
      <c r="F46" s="19">
        <f>386-19.69078</f>
        <v>366.30922</v>
      </c>
      <c r="G46" s="23"/>
      <c r="H46" s="19"/>
      <c r="I46" s="19"/>
      <c r="J46" s="19"/>
      <c r="K46" s="19"/>
      <c r="L46" s="19"/>
      <c r="M46" s="19"/>
      <c r="N46" s="19"/>
      <c r="O46" s="19"/>
      <c r="P46" s="19"/>
      <c r="Q46" s="19" t="s">
        <v>64</v>
      </c>
      <c r="R46" s="19"/>
      <c r="S46" s="42">
        <f t="shared" si="3"/>
        <v>0</v>
      </c>
      <c r="T46" s="43"/>
      <c r="U46" s="43">
        <f t="shared" si="15"/>
        <v>0</v>
      </c>
      <c r="V46" s="42">
        <f t="shared" si="5"/>
        <v>0</v>
      </c>
      <c r="W46" s="43">
        <v>129.820436</v>
      </c>
      <c r="X46" s="43">
        <f t="shared" si="16"/>
        <v>129.820436</v>
      </c>
      <c r="Y46" s="42">
        <f t="shared" si="7"/>
        <v>0.354401224189771</v>
      </c>
      <c r="Z46" s="43"/>
      <c r="AA46" s="43">
        <f t="shared" si="8"/>
        <v>129.820436</v>
      </c>
      <c r="AB46" s="42">
        <f t="shared" si="19"/>
        <v>0.354401224189771</v>
      </c>
      <c r="AC46" s="43">
        <v>162.850061</v>
      </c>
      <c r="AD46" s="43">
        <f t="shared" si="9"/>
        <v>292.670497</v>
      </c>
      <c r="AE46" s="42">
        <f t="shared" si="10"/>
        <v>0.798971145198038</v>
      </c>
      <c r="AF46" s="43"/>
      <c r="AG46" s="43">
        <f t="shared" si="11"/>
        <v>292.670497</v>
      </c>
      <c r="AH46" s="42">
        <f t="shared" si="12"/>
        <v>0.798971145198038</v>
      </c>
    </row>
    <row r="47" s="4" customFormat="1" ht="180" customHeight="1" spans="1:34">
      <c r="A47" s="19">
        <v>41</v>
      </c>
      <c r="B47" s="20" t="s">
        <v>127</v>
      </c>
      <c r="C47" s="20" t="s">
        <v>128</v>
      </c>
      <c r="D47" s="21">
        <f t="shared" si="17"/>
        <v>355</v>
      </c>
      <c r="E47" s="21">
        <f t="shared" si="14"/>
        <v>355</v>
      </c>
      <c r="F47" s="19">
        <f>389-34</f>
        <v>355</v>
      </c>
      <c r="G47" s="23"/>
      <c r="H47" s="19"/>
      <c r="I47" s="19"/>
      <c r="J47" s="19"/>
      <c r="K47" s="19"/>
      <c r="L47" s="19"/>
      <c r="M47" s="19"/>
      <c r="N47" s="19"/>
      <c r="O47" s="19"/>
      <c r="P47" s="19"/>
      <c r="Q47" s="19" t="s">
        <v>68</v>
      </c>
      <c r="R47" s="19"/>
      <c r="S47" s="42">
        <f t="shared" si="3"/>
        <v>0</v>
      </c>
      <c r="T47" s="43"/>
      <c r="U47" s="43">
        <f t="shared" si="15"/>
        <v>0</v>
      </c>
      <c r="V47" s="42">
        <f t="shared" si="5"/>
        <v>0</v>
      </c>
      <c r="W47" s="43">
        <f>92.999986</f>
        <v>92.999986</v>
      </c>
      <c r="X47" s="43">
        <f t="shared" si="16"/>
        <v>92.999986</v>
      </c>
      <c r="Y47" s="42">
        <f t="shared" si="7"/>
        <v>0.261971791549296</v>
      </c>
      <c r="Z47" s="43"/>
      <c r="AA47" s="43">
        <f t="shared" si="8"/>
        <v>92.999986</v>
      </c>
      <c r="AB47" s="42">
        <f t="shared" si="19"/>
        <v>0.261971791549296</v>
      </c>
      <c r="AC47" s="43">
        <f>37.5779+92.999986</f>
        <v>130.577886</v>
      </c>
      <c r="AD47" s="43">
        <f t="shared" si="9"/>
        <v>223.577872</v>
      </c>
      <c r="AE47" s="42">
        <f t="shared" si="10"/>
        <v>0.629796822535211</v>
      </c>
      <c r="AF47" s="43">
        <v>92.999986</v>
      </c>
      <c r="AG47" s="43">
        <f t="shared" si="11"/>
        <v>316.577858</v>
      </c>
      <c r="AH47" s="42">
        <f t="shared" si="12"/>
        <v>0.891768614084507</v>
      </c>
    </row>
    <row r="48" s="4" customFormat="1" ht="180" customHeight="1" spans="1:34">
      <c r="A48" s="19">
        <v>42</v>
      </c>
      <c r="B48" s="20" t="s">
        <v>129</v>
      </c>
      <c r="C48" s="20" t="s">
        <v>130</v>
      </c>
      <c r="D48" s="21">
        <f t="shared" si="17"/>
        <v>370.037949</v>
      </c>
      <c r="E48" s="21">
        <f t="shared" si="14"/>
        <v>370.037949</v>
      </c>
      <c r="F48" s="19">
        <f>385-14.962051</f>
        <v>370.037949</v>
      </c>
      <c r="G48" s="23"/>
      <c r="H48" s="19"/>
      <c r="I48" s="19"/>
      <c r="J48" s="19"/>
      <c r="K48" s="19"/>
      <c r="L48" s="19"/>
      <c r="M48" s="19"/>
      <c r="N48" s="19"/>
      <c r="O48" s="19"/>
      <c r="P48" s="19"/>
      <c r="Q48" s="19" t="s">
        <v>95</v>
      </c>
      <c r="R48" s="19"/>
      <c r="S48" s="42">
        <f t="shared" si="3"/>
        <v>0</v>
      </c>
      <c r="T48" s="43"/>
      <c r="U48" s="43">
        <f t="shared" si="15"/>
        <v>0</v>
      </c>
      <c r="V48" s="42">
        <f t="shared" si="5"/>
        <v>0</v>
      </c>
      <c r="W48" s="43">
        <v>124.5625</v>
      </c>
      <c r="X48" s="43">
        <f t="shared" si="16"/>
        <v>124.5625</v>
      </c>
      <c r="Y48" s="42">
        <f t="shared" si="7"/>
        <v>0.336620879930345</v>
      </c>
      <c r="Z48" s="43"/>
      <c r="AA48" s="43">
        <f t="shared" si="8"/>
        <v>124.5625</v>
      </c>
      <c r="AB48" s="42">
        <f t="shared" si="19"/>
        <v>0.336620879930345</v>
      </c>
      <c r="AC48" s="43">
        <v>99.0595</v>
      </c>
      <c r="AD48" s="43">
        <f t="shared" si="9"/>
        <v>223.622</v>
      </c>
      <c r="AE48" s="42">
        <f t="shared" si="10"/>
        <v>0.604321801599868</v>
      </c>
      <c r="AF48" s="43">
        <v>105.3595</v>
      </c>
      <c r="AG48" s="43">
        <f t="shared" si="11"/>
        <v>328.9815</v>
      </c>
      <c r="AH48" s="42">
        <f t="shared" si="12"/>
        <v>0.88904800410079</v>
      </c>
    </row>
    <row r="49" s="4" customFormat="1" ht="180" customHeight="1" spans="1:34">
      <c r="A49" s="19">
        <v>43</v>
      </c>
      <c r="B49" s="20" t="s">
        <v>131</v>
      </c>
      <c r="C49" s="20" t="s">
        <v>132</v>
      </c>
      <c r="D49" s="21">
        <f t="shared" si="17"/>
        <v>342.276466</v>
      </c>
      <c r="E49" s="21">
        <f t="shared" si="14"/>
        <v>342.276466</v>
      </c>
      <c r="F49" s="19">
        <f>389-46.723534</f>
        <v>342.276466</v>
      </c>
      <c r="G49" s="23"/>
      <c r="H49" s="19"/>
      <c r="I49" s="19"/>
      <c r="J49" s="19"/>
      <c r="K49" s="19"/>
      <c r="L49" s="19"/>
      <c r="M49" s="19"/>
      <c r="N49" s="19"/>
      <c r="O49" s="19"/>
      <c r="P49" s="19"/>
      <c r="Q49" s="19" t="s">
        <v>54</v>
      </c>
      <c r="R49" s="19"/>
      <c r="S49" s="42">
        <f t="shared" si="3"/>
        <v>0</v>
      </c>
      <c r="T49" s="43"/>
      <c r="U49" s="43">
        <f t="shared" si="15"/>
        <v>0</v>
      </c>
      <c r="V49" s="42">
        <f t="shared" si="5"/>
        <v>0</v>
      </c>
      <c r="W49" s="43">
        <v>127.7175</v>
      </c>
      <c r="X49" s="43">
        <f t="shared" si="16"/>
        <v>127.7175</v>
      </c>
      <c r="Y49" s="42">
        <f t="shared" si="7"/>
        <v>0.373141342414117</v>
      </c>
      <c r="Z49" s="43">
        <v>89.9743</v>
      </c>
      <c r="AA49" s="43">
        <f t="shared" si="8"/>
        <v>217.6918</v>
      </c>
      <c r="AB49" s="42">
        <f t="shared" si="19"/>
        <v>0.636011591869129</v>
      </c>
      <c r="AC49" s="43"/>
      <c r="AD49" s="43">
        <f t="shared" si="9"/>
        <v>217.6918</v>
      </c>
      <c r="AE49" s="42">
        <f t="shared" si="10"/>
        <v>0.636011591869129</v>
      </c>
      <c r="AF49" s="43">
        <v>89.9743</v>
      </c>
      <c r="AG49" s="43">
        <f t="shared" si="11"/>
        <v>307.6661</v>
      </c>
      <c r="AH49" s="42">
        <f t="shared" si="12"/>
        <v>0.898881841324142</v>
      </c>
    </row>
    <row r="50" s="4" customFormat="1" ht="180" customHeight="1" spans="1:34">
      <c r="A50" s="19">
        <v>44</v>
      </c>
      <c r="B50" s="20" t="s">
        <v>133</v>
      </c>
      <c r="C50" s="20" t="s">
        <v>134</v>
      </c>
      <c r="D50" s="21">
        <f t="shared" si="17"/>
        <v>700</v>
      </c>
      <c r="E50" s="21">
        <f t="shared" si="14"/>
        <v>700</v>
      </c>
      <c r="F50" s="19">
        <v>700</v>
      </c>
      <c r="G50" s="23"/>
      <c r="H50" s="19"/>
      <c r="I50" s="19"/>
      <c r="J50" s="19"/>
      <c r="K50" s="19"/>
      <c r="L50" s="19"/>
      <c r="M50" s="19"/>
      <c r="N50" s="19"/>
      <c r="O50" s="19"/>
      <c r="P50" s="19"/>
      <c r="Q50" s="19" t="s">
        <v>101</v>
      </c>
      <c r="R50" s="19"/>
      <c r="S50" s="42">
        <f t="shared" si="3"/>
        <v>0</v>
      </c>
      <c r="T50" s="43"/>
      <c r="U50" s="43">
        <f t="shared" si="15"/>
        <v>0</v>
      </c>
      <c r="V50" s="42">
        <f t="shared" si="5"/>
        <v>0</v>
      </c>
      <c r="W50" s="43">
        <v>214.095085</v>
      </c>
      <c r="X50" s="43">
        <f t="shared" si="16"/>
        <v>214.095085</v>
      </c>
      <c r="Y50" s="42">
        <f t="shared" si="7"/>
        <v>0.305850121428571</v>
      </c>
      <c r="Z50" s="43"/>
      <c r="AA50" s="43">
        <f t="shared" si="8"/>
        <v>214.095085</v>
      </c>
      <c r="AB50" s="42">
        <f t="shared" si="19"/>
        <v>0.305850121428571</v>
      </c>
      <c r="AC50" s="43">
        <f>10.159028+142.730057</f>
        <v>152.889085</v>
      </c>
      <c r="AD50" s="43">
        <f t="shared" si="9"/>
        <v>366.98417</v>
      </c>
      <c r="AE50" s="42">
        <f t="shared" si="10"/>
        <v>0.5242631</v>
      </c>
      <c r="AF50" s="43">
        <v>84.166331</v>
      </c>
      <c r="AG50" s="43">
        <f t="shared" si="11"/>
        <v>451.150501</v>
      </c>
      <c r="AH50" s="42">
        <f t="shared" si="12"/>
        <v>0.644500715714286</v>
      </c>
    </row>
    <row r="51" s="4" customFormat="1" ht="180" customHeight="1" spans="1:34">
      <c r="A51" s="19">
        <v>45</v>
      </c>
      <c r="B51" s="20" t="s">
        <v>135</v>
      </c>
      <c r="C51" s="20" t="s">
        <v>136</v>
      </c>
      <c r="D51" s="21">
        <f t="shared" si="17"/>
        <v>389</v>
      </c>
      <c r="E51" s="21">
        <f t="shared" si="14"/>
        <v>389</v>
      </c>
      <c r="F51" s="19">
        <v>389</v>
      </c>
      <c r="G51" s="23"/>
      <c r="H51" s="19"/>
      <c r="I51" s="19"/>
      <c r="J51" s="19"/>
      <c r="K51" s="19"/>
      <c r="L51" s="19"/>
      <c r="M51" s="19"/>
      <c r="N51" s="19"/>
      <c r="O51" s="19"/>
      <c r="P51" s="19"/>
      <c r="Q51" s="19" t="s">
        <v>48</v>
      </c>
      <c r="R51" s="19"/>
      <c r="S51" s="42">
        <f t="shared" si="3"/>
        <v>0</v>
      </c>
      <c r="T51" s="43"/>
      <c r="U51" s="43">
        <f t="shared" si="15"/>
        <v>0</v>
      </c>
      <c r="V51" s="42">
        <f t="shared" si="5"/>
        <v>0</v>
      </c>
      <c r="W51" s="43"/>
      <c r="X51" s="43">
        <f t="shared" si="16"/>
        <v>0</v>
      </c>
      <c r="Y51" s="42">
        <f t="shared" si="7"/>
        <v>0</v>
      </c>
      <c r="Z51" s="43">
        <f>104.84589+20.22</f>
        <v>125.06589</v>
      </c>
      <c r="AA51" s="43">
        <f t="shared" si="8"/>
        <v>125.06589</v>
      </c>
      <c r="AB51" s="42">
        <f t="shared" si="19"/>
        <v>0.321506143958869</v>
      </c>
      <c r="AC51" s="43">
        <v>108.060577</v>
      </c>
      <c r="AD51" s="43">
        <f t="shared" si="9"/>
        <v>233.126467</v>
      </c>
      <c r="AE51" s="42">
        <f t="shared" si="10"/>
        <v>0.59929683033419</v>
      </c>
      <c r="AF51" s="43">
        <v>103.726077</v>
      </c>
      <c r="AG51" s="43">
        <f t="shared" si="11"/>
        <v>336.852544</v>
      </c>
      <c r="AH51" s="42">
        <f t="shared" si="12"/>
        <v>0.865944843187661</v>
      </c>
    </row>
    <row r="52" s="4" customFormat="1" ht="180" customHeight="1" spans="1:34">
      <c r="A52" s="19">
        <v>46</v>
      </c>
      <c r="B52" s="20" t="s">
        <v>137</v>
      </c>
      <c r="C52" s="20" t="s">
        <v>138</v>
      </c>
      <c r="D52" s="21">
        <f t="shared" si="17"/>
        <v>388</v>
      </c>
      <c r="E52" s="21">
        <f t="shared" si="14"/>
        <v>388</v>
      </c>
      <c r="F52" s="19">
        <v>388</v>
      </c>
      <c r="G52" s="23"/>
      <c r="H52" s="19"/>
      <c r="I52" s="19"/>
      <c r="J52" s="19"/>
      <c r="K52" s="19"/>
      <c r="L52" s="19"/>
      <c r="M52" s="19"/>
      <c r="N52" s="19"/>
      <c r="O52" s="19"/>
      <c r="P52" s="19"/>
      <c r="Q52" s="19" t="s">
        <v>80</v>
      </c>
      <c r="R52" s="19"/>
      <c r="S52" s="42">
        <f t="shared" si="3"/>
        <v>0</v>
      </c>
      <c r="T52" s="43"/>
      <c r="U52" s="43">
        <f t="shared" si="15"/>
        <v>0</v>
      </c>
      <c r="V52" s="42">
        <f t="shared" si="5"/>
        <v>0</v>
      </c>
      <c r="W52" s="43">
        <v>69.546763</v>
      </c>
      <c r="X52" s="43">
        <f t="shared" si="16"/>
        <v>69.546763</v>
      </c>
      <c r="Y52" s="42">
        <f t="shared" si="7"/>
        <v>0.179244234536082</v>
      </c>
      <c r="Z52" s="43">
        <f>29.8058+27.1906</f>
        <v>56.9964</v>
      </c>
      <c r="AA52" s="43">
        <f t="shared" si="8"/>
        <v>126.543163</v>
      </c>
      <c r="AB52" s="42">
        <f t="shared" si="19"/>
        <v>0.326142172680412</v>
      </c>
      <c r="AC52" s="43">
        <v>102.7525</v>
      </c>
      <c r="AD52" s="43">
        <f t="shared" si="9"/>
        <v>229.295663</v>
      </c>
      <c r="AE52" s="42">
        <f t="shared" si="10"/>
        <v>0.590968203608247</v>
      </c>
      <c r="AF52" s="43">
        <v>99.3525</v>
      </c>
      <c r="AG52" s="43">
        <f t="shared" si="11"/>
        <v>328.648163</v>
      </c>
      <c r="AH52" s="42">
        <f t="shared" si="12"/>
        <v>0.847031347938144</v>
      </c>
    </row>
    <row r="53" s="4" customFormat="1" ht="180" customHeight="1" spans="1:34">
      <c r="A53" s="19">
        <v>47</v>
      </c>
      <c r="B53" s="20" t="s">
        <v>139</v>
      </c>
      <c r="C53" s="20" t="s">
        <v>140</v>
      </c>
      <c r="D53" s="21">
        <f t="shared" si="17"/>
        <v>299</v>
      </c>
      <c r="E53" s="21">
        <f t="shared" si="14"/>
        <v>299</v>
      </c>
      <c r="F53" s="19">
        <f>380-81</f>
        <v>299</v>
      </c>
      <c r="G53" s="23"/>
      <c r="H53" s="19"/>
      <c r="I53" s="19"/>
      <c r="J53" s="19"/>
      <c r="K53" s="19"/>
      <c r="L53" s="19"/>
      <c r="M53" s="19"/>
      <c r="N53" s="19"/>
      <c r="O53" s="19"/>
      <c r="P53" s="19"/>
      <c r="Q53" s="19" t="s">
        <v>141</v>
      </c>
      <c r="R53" s="19"/>
      <c r="S53" s="42">
        <f t="shared" si="3"/>
        <v>0</v>
      </c>
      <c r="T53" s="43"/>
      <c r="U53" s="43">
        <f t="shared" si="15"/>
        <v>0</v>
      </c>
      <c r="V53" s="42">
        <f t="shared" si="5"/>
        <v>0</v>
      </c>
      <c r="W53" s="43">
        <v>77.8575</v>
      </c>
      <c r="X53" s="43">
        <f t="shared" si="16"/>
        <v>77.8575</v>
      </c>
      <c r="Y53" s="42">
        <f t="shared" si="7"/>
        <v>0.260392976588629</v>
      </c>
      <c r="Z53" s="43"/>
      <c r="AA53" s="43">
        <f t="shared" si="8"/>
        <v>77.8575</v>
      </c>
      <c r="AB53" s="42">
        <f t="shared" si="19"/>
        <v>0.260392976588629</v>
      </c>
      <c r="AC53" s="43">
        <v>183.7387</v>
      </c>
      <c r="AD53" s="43">
        <f t="shared" si="9"/>
        <v>261.5962</v>
      </c>
      <c r="AE53" s="42">
        <f t="shared" si="10"/>
        <v>0.874903678929766</v>
      </c>
      <c r="AF53" s="43">
        <v>18.1667</v>
      </c>
      <c r="AG53" s="43">
        <f t="shared" si="11"/>
        <v>279.7629</v>
      </c>
      <c r="AH53" s="42">
        <f t="shared" si="12"/>
        <v>0.935661872909699</v>
      </c>
    </row>
    <row r="54" s="5" customFormat="1" ht="176" customHeight="1" spans="1:34">
      <c r="A54" s="19">
        <v>48</v>
      </c>
      <c r="B54" s="25" t="s">
        <v>142</v>
      </c>
      <c r="C54" s="26" t="s">
        <v>143</v>
      </c>
      <c r="D54" s="21">
        <f t="shared" si="17"/>
        <v>580</v>
      </c>
      <c r="E54" s="21">
        <f t="shared" si="14"/>
        <v>580</v>
      </c>
      <c r="F54" s="19">
        <v>580</v>
      </c>
      <c r="G54" s="27"/>
      <c r="H54" s="27"/>
      <c r="I54" s="27"/>
      <c r="J54" s="27"/>
      <c r="K54" s="27"/>
      <c r="L54" s="27"/>
      <c r="M54" s="27"/>
      <c r="N54" s="27"/>
      <c r="O54" s="27"/>
      <c r="P54" s="27"/>
      <c r="Q54" s="19" t="s">
        <v>71</v>
      </c>
      <c r="R54" s="27"/>
      <c r="S54" s="42">
        <f t="shared" si="3"/>
        <v>0</v>
      </c>
      <c r="T54" s="43"/>
      <c r="U54" s="43">
        <f t="shared" si="15"/>
        <v>0</v>
      </c>
      <c r="V54" s="42">
        <f t="shared" si="5"/>
        <v>0</v>
      </c>
      <c r="W54" s="43"/>
      <c r="X54" s="43">
        <f t="shared" si="16"/>
        <v>0</v>
      </c>
      <c r="Y54" s="42">
        <f t="shared" si="7"/>
        <v>0</v>
      </c>
      <c r="Z54" s="43"/>
      <c r="AA54" s="43">
        <f t="shared" si="8"/>
        <v>0</v>
      </c>
      <c r="AB54" s="42">
        <f t="shared" si="19"/>
        <v>0</v>
      </c>
      <c r="AC54" s="43"/>
      <c r="AD54" s="43">
        <f t="shared" si="9"/>
        <v>0</v>
      </c>
      <c r="AE54" s="42">
        <f t="shared" si="10"/>
        <v>0</v>
      </c>
      <c r="AF54" s="43"/>
      <c r="AG54" s="43">
        <f t="shared" si="11"/>
        <v>0</v>
      </c>
      <c r="AH54" s="42">
        <f t="shared" si="12"/>
        <v>0</v>
      </c>
    </row>
    <row r="55" s="5" customFormat="1" ht="205" customHeight="1" spans="1:34">
      <c r="A55" s="19">
        <v>49</v>
      </c>
      <c r="B55" s="25" t="s">
        <v>144</v>
      </c>
      <c r="C55" s="25" t="s">
        <v>145</v>
      </c>
      <c r="D55" s="21">
        <f t="shared" si="17"/>
        <v>23.08</v>
      </c>
      <c r="E55" s="21">
        <f t="shared" si="14"/>
        <v>23.08</v>
      </c>
      <c r="F55" s="28"/>
      <c r="G55" s="27"/>
      <c r="H55" s="27"/>
      <c r="I55" s="28">
        <v>23.08</v>
      </c>
      <c r="J55" s="27"/>
      <c r="K55" s="27"/>
      <c r="L55" s="27"/>
      <c r="M55" s="27"/>
      <c r="N55" s="27"/>
      <c r="O55" s="27"/>
      <c r="P55" s="27"/>
      <c r="Q55" s="27" t="s">
        <v>104</v>
      </c>
      <c r="R55" s="27"/>
      <c r="S55" s="42">
        <f t="shared" si="3"/>
        <v>0</v>
      </c>
      <c r="T55" s="43"/>
      <c r="U55" s="43">
        <f t="shared" si="15"/>
        <v>0</v>
      </c>
      <c r="V55" s="42">
        <f t="shared" si="5"/>
        <v>0</v>
      </c>
      <c r="W55" s="43"/>
      <c r="X55" s="43">
        <f t="shared" si="16"/>
        <v>0</v>
      </c>
      <c r="Y55" s="42">
        <f t="shared" si="7"/>
        <v>0</v>
      </c>
      <c r="Z55" s="43"/>
      <c r="AA55" s="43">
        <f t="shared" si="8"/>
        <v>0</v>
      </c>
      <c r="AB55" s="42">
        <f t="shared" si="19"/>
        <v>0</v>
      </c>
      <c r="AC55" s="43"/>
      <c r="AD55" s="43">
        <f t="shared" si="9"/>
        <v>0</v>
      </c>
      <c r="AE55" s="42">
        <f t="shared" si="10"/>
        <v>0</v>
      </c>
      <c r="AF55" s="43"/>
      <c r="AG55" s="43">
        <f t="shared" si="11"/>
        <v>0</v>
      </c>
      <c r="AH55" s="42">
        <f t="shared" si="12"/>
        <v>0</v>
      </c>
    </row>
    <row r="56" s="5" customFormat="1" ht="94" customHeight="1" spans="1:34">
      <c r="A56" s="19" t="s">
        <v>146</v>
      </c>
      <c r="B56" s="25" t="s">
        <v>147</v>
      </c>
      <c r="C56" s="25"/>
      <c r="D56" s="27">
        <v>6544.06684</v>
      </c>
      <c r="E56" s="27">
        <v>6544.06684</v>
      </c>
      <c r="F56" s="27">
        <v>4539.26684</v>
      </c>
      <c r="G56" s="27">
        <v>2004.8</v>
      </c>
      <c r="H56" s="27"/>
      <c r="I56" s="28"/>
      <c r="J56" s="27"/>
      <c r="K56" s="27"/>
      <c r="L56" s="27"/>
      <c r="M56" s="27"/>
      <c r="N56" s="27"/>
      <c r="O56" s="27"/>
      <c r="P56" s="27"/>
      <c r="Q56" s="27"/>
      <c r="R56" s="27">
        <v>264.35</v>
      </c>
      <c r="S56" s="42">
        <v>0.0403953698003488</v>
      </c>
      <c r="T56" s="43">
        <v>616.1</v>
      </c>
      <c r="U56" s="43">
        <v>880.45</v>
      </c>
      <c r="V56" s="42">
        <v>0.134541718708973</v>
      </c>
      <c r="W56" s="43">
        <v>440.4</v>
      </c>
      <c r="X56" s="43">
        <v>1320.85</v>
      </c>
      <c r="Y56" s="42">
        <v>0.201839319844111</v>
      </c>
      <c r="Z56" s="43">
        <v>446.675</v>
      </c>
      <c r="AA56" s="43">
        <v>1767.525</v>
      </c>
      <c r="AB56" s="42">
        <v>0.270095804828302</v>
      </c>
      <c r="AC56" s="43">
        <v>1409.35</v>
      </c>
      <c r="AD56" s="43">
        <v>3176.875</v>
      </c>
      <c r="AE56" s="42">
        <v>0.485458825173002</v>
      </c>
      <c r="AF56" s="43">
        <v>447.75</v>
      </c>
      <c r="AG56" s="43">
        <v>3624.625</v>
      </c>
      <c r="AH56" s="42">
        <v>0.553879581095477</v>
      </c>
    </row>
    <row r="57" s="4" customFormat="1" ht="166" customHeight="1" spans="1:34">
      <c r="A57" s="19">
        <v>50</v>
      </c>
      <c r="B57" s="20" t="s">
        <v>148</v>
      </c>
      <c r="C57" s="29" t="s">
        <v>149</v>
      </c>
      <c r="D57" s="21" t="e">
        <f>E57+M57+N57+O57+P57</f>
        <v>#REF!</v>
      </c>
      <c r="E57" s="30" t="e">
        <f>F57+H57+I57+J57+K57+L57+G57</f>
        <v>#REF!</v>
      </c>
      <c r="F57" s="21" t="e">
        <f>#REF!+#REF!+#REF!+#REF!+#REF!+#REF!+#REF!+#REF!+#REF!+#REF!+#REF!+#REF!+#REF!</f>
        <v>#REF!</v>
      </c>
      <c r="H57" s="31"/>
      <c r="I57" s="31"/>
      <c r="J57" s="31"/>
      <c r="K57" s="31"/>
      <c r="L57" s="31"/>
      <c r="M57" s="37"/>
      <c r="N57" s="37"/>
      <c r="O57" s="37"/>
      <c r="P57" s="37"/>
      <c r="Q57" s="19" t="s">
        <v>40</v>
      </c>
      <c r="R57" s="19" t="e">
        <f>#REF!+#REF!+#REF!+#REF!+#REF!+#REF!+#REF!+#REF!+#REF!+#REF!+#REF!+#REF!+#REF!</f>
        <v>#REF!</v>
      </c>
      <c r="S57" s="42" t="e">
        <f>R57/D57</f>
        <v>#REF!</v>
      </c>
      <c r="T57" s="43" t="e">
        <f>#REF!+#REF!+#REF!+#REF!+#REF!+#REF!+#REF!+#REF!+#REF!+#REF!+#REF!+#REF!+#REF!</f>
        <v>#REF!</v>
      </c>
      <c r="U57" s="43" t="e">
        <f>#REF!+#REF!+#REF!+#REF!+#REF!+#REF!+#REF!+#REF!+#REF!+#REF!+#REF!+#REF!+#REF!</f>
        <v>#REF!</v>
      </c>
      <c r="V57" s="42" t="e">
        <f>U57/D57</f>
        <v>#REF!</v>
      </c>
      <c r="W57" s="43" t="e">
        <f>#REF!+#REF!+#REF!+#REF!+#REF!+#REF!+#REF!+#REF!+#REF!+#REF!+#REF!+#REF!+#REF!</f>
        <v>#REF!</v>
      </c>
      <c r="X57" s="43" t="e">
        <f>U57+W57</f>
        <v>#REF!</v>
      </c>
      <c r="Y57" s="42" t="e">
        <f>X57/D57</f>
        <v>#REF!</v>
      </c>
      <c r="Z57" s="43" t="e">
        <f>#REF!+#REF!+#REF!+#REF!+#REF!+#REF!+#REF!+#REF!+#REF!+#REF!+#REF!+#REF!+#REF!</f>
        <v>#REF!</v>
      </c>
      <c r="AA57" s="43" t="e">
        <f>X57+Z57</f>
        <v>#REF!</v>
      </c>
      <c r="AB57" s="42" t="e">
        <f>AA57/D57</f>
        <v>#REF!</v>
      </c>
      <c r="AC57" s="43" t="e">
        <f>#REF!+#REF!+#REF!+#REF!+#REF!+#REF!+#REF!+#REF!+#REF!+#REF!+#REF!+#REF!+#REF!</f>
        <v>#REF!</v>
      </c>
      <c r="AD57" s="43" t="e">
        <f>AA57+AC57</f>
        <v>#REF!</v>
      </c>
      <c r="AE57" s="42" t="e">
        <f>AD57/D57</f>
        <v>#REF!</v>
      </c>
      <c r="AF57" s="43">
        <v>322.35</v>
      </c>
      <c r="AG57" s="43">
        <v>1910.125</v>
      </c>
      <c r="AH57" s="42">
        <v>0.504088278987499</v>
      </c>
    </row>
    <row r="58" s="4" customFormat="1" ht="52.3" spans="1:34">
      <c r="A58" s="19">
        <v>51</v>
      </c>
      <c r="B58" s="20" t="s">
        <v>150</v>
      </c>
      <c r="C58" s="29" t="s">
        <v>149</v>
      </c>
      <c r="D58" s="21">
        <f>E58+M58+N58+O58+P58</f>
        <v>1504.8</v>
      </c>
      <c r="E58" s="30">
        <f>F58+H58+I58+J58+K58+L58+G58</f>
        <v>1504.8</v>
      </c>
      <c r="F58" s="30"/>
      <c r="G58" s="21">
        <v>1504.8</v>
      </c>
      <c r="H58" s="31"/>
      <c r="I58" s="31"/>
      <c r="J58" s="31"/>
      <c r="K58" s="31"/>
      <c r="L58" s="31"/>
      <c r="M58" s="37"/>
      <c r="N58" s="37"/>
      <c r="O58" s="37"/>
      <c r="P58" s="37"/>
      <c r="Q58" s="19" t="s">
        <v>71</v>
      </c>
      <c r="R58" s="19">
        <v>125.4</v>
      </c>
      <c r="S58" s="42">
        <f>R58/D58</f>
        <v>0.0833333333333333</v>
      </c>
      <c r="T58" s="43">
        <v>125.4</v>
      </c>
      <c r="U58" s="43">
        <f>R58+T58</f>
        <v>250.8</v>
      </c>
      <c r="V58" s="42">
        <f>U58/D58</f>
        <v>0.166666666666667</v>
      </c>
      <c r="W58" s="43">
        <v>125.4</v>
      </c>
      <c r="X58" s="43">
        <f>U58+W58</f>
        <v>376.2</v>
      </c>
      <c r="Y58" s="42">
        <f>X58/D58</f>
        <v>0.25</v>
      </c>
      <c r="Z58" s="43">
        <f>125.4-0.2</f>
        <v>125.2</v>
      </c>
      <c r="AA58" s="43">
        <f>X58+Z58</f>
        <v>501.4</v>
      </c>
      <c r="AB58" s="42">
        <f t="shared" ref="AB58:AB71" si="20">AA58/D58</f>
        <v>0.333200425305688</v>
      </c>
      <c r="AC58" s="43">
        <v>125.6</v>
      </c>
      <c r="AD58" s="43">
        <f>AA58+AC58</f>
        <v>627</v>
      </c>
      <c r="AE58" s="42">
        <f>AD58/D58</f>
        <v>0.416666666666667</v>
      </c>
      <c r="AF58" s="43">
        <v>125.4</v>
      </c>
      <c r="AG58" s="43">
        <f>AD58+AF58</f>
        <v>752.4</v>
      </c>
      <c r="AH58" s="42">
        <f>AG58/D58</f>
        <v>0.5</v>
      </c>
    </row>
    <row r="59" s="4" customFormat="1" ht="104.55" spans="1:34">
      <c r="A59" s="19">
        <v>52</v>
      </c>
      <c r="B59" s="20" t="s">
        <v>151</v>
      </c>
      <c r="C59" s="29" t="s">
        <v>149</v>
      </c>
      <c r="D59" s="21">
        <f>E59+M59+N59+O59+P59</f>
        <v>1250</v>
      </c>
      <c r="E59" s="30">
        <f>F59+H59+I59+J59+K59+L59+G59</f>
        <v>1250</v>
      </c>
      <c r="F59" s="30">
        <f>500+250</f>
        <v>750</v>
      </c>
      <c r="G59" s="21">
        <v>500</v>
      </c>
      <c r="H59" s="31"/>
      <c r="I59" s="31"/>
      <c r="J59" s="31"/>
      <c r="K59" s="31"/>
      <c r="L59" s="31"/>
      <c r="M59" s="37"/>
      <c r="N59" s="37"/>
      <c r="O59" s="37"/>
      <c r="P59" s="37"/>
      <c r="Q59" s="19" t="s">
        <v>40</v>
      </c>
      <c r="R59" s="19"/>
      <c r="S59" s="42">
        <f>R59/D59</f>
        <v>0</v>
      </c>
      <c r="T59" s="43"/>
      <c r="U59" s="43">
        <f>R59+T59</f>
        <v>0</v>
      </c>
      <c r="V59" s="42">
        <f>U59/D59</f>
        <v>0</v>
      </c>
      <c r="W59" s="43"/>
      <c r="X59" s="43">
        <f>U59+W59</f>
        <v>0</v>
      </c>
      <c r="Y59" s="42">
        <f>X59/D59</f>
        <v>0</v>
      </c>
      <c r="Z59" s="43"/>
      <c r="AA59" s="43">
        <f>X59+Z59</f>
        <v>0</v>
      </c>
      <c r="AB59" s="42">
        <f t="shared" si="20"/>
        <v>0</v>
      </c>
      <c r="AC59" s="43">
        <v>962.1</v>
      </c>
      <c r="AD59" s="43">
        <f>AA59+AC59</f>
        <v>962.1</v>
      </c>
      <c r="AE59" s="42">
        <f>AD59/D59</f>
        <v>0.76968</v>
      </c>
      <c r="AF59" s="43"/>
      <c r="AG59" s="43">
        <f>AD59+AF59</f>
        <v>962.1</v>
      </c>
      <c r="AH59" s="42">
        <f>AG59/D59</f>
        <v>0.76968</v>
      </c>
    </row>
    <row r="60" s="6" customFormat="1" ht="80" customHeight="1" spans="1:34">
      <c r="A60" s="19" t="s">
        <v>152</v>
      </c>
      <c r="B60" s="32" t="s">
        <v>153</v>
      </c>
      <c r="C60" s="33"/>
      <c r="D60" s="34">
        <f t="shared" ref="D60:I60" si="21">SUM(D61:D93)</f>
        <v>11931.816608</v>
      </c>
      <c r="E60" s="34">
        <f t="shared" si="21"/>
        <v>11931.816608</v>
      </c>
      <c r="F60" s="34">
        <f t="shared" si="21"/>
        <v>1561.616608</v>
      </c>
      <c r="G60" s="34">
        <f t="shared" si="21"/>
        <v>8353.2</v>
      </c>
      <c r="H60" s="34">
        <f t="shared" si="21"/>
        <v>2017</v>
      </c>
      <c r="I60" s="34">
        <f t="shared" si="21"/>
        <v>0</v>
      </c>
      <c r="J60" s="34"/>
      <c r="K60" s="34"/>
      <c r="L60" s="34"/>
      <c r="M60" s="34"/>
      <c r="N60" s="34"/>
      <c r="O60" s="34"/>
      <c r="P60" s="34"/>
      <c r="Q60" s="25"/>
      <c r="R60" s="25">
        <f>R61+R62+R63+R64+R65+R66+R67+R68+R69+R70+R71+R72+R73+R74+R75+R76+R77+R78+R79+R80+R81+R82+R83+R84+R85+R86+R87+R88+R89</f>
        <v>0</v>
      </c>
      <c r="S60" s="42">
        <f>R60/D60</f>
        <v>0</v>
      </c>
      <c r="T60" s="43">
        <f>T61+T62+T63+T64+T65+T66+T67+T68+T69+T70+T71+T72+T73+T74+T75+T76+T77+T78+T79+T80+T81+T82+T83+T84+T85+T86+T87+T88+T89</f>
        <v>0</v>
      </c>
      <c r="U60" s="43">
        <f>U61+U62+U63+U64+U65+U66+U67+U68+U69+U70+U71+U72+U73+U74+U75+U76+U77+U78+U79+U80+U81+U82+U83+U84+U85+U86+U87+U88+U89</f>
        <v>0</v>
      </c>
      <c r="V60" s="42">
        <f>U60/D60</f>
        <v>0</v>
      </c>
      <c r="W60" s="43">
        <f>W61+W62+W63+W64+W65+W66+W67+W68+W69+W70+W71+W72+W73+W74+W75+W76+W77+W78+W79+W80+W81+W82+W83+W84+W85+W86+W87+W88+W89</f>
        <v>2451.703383</v>
      </c>
      <c r="X60" s="43">
        <f>X61+X62+X63+X64+X65+X66+X67+X68+X69+X70+X71+X72+X73+X74+X75+X76+X77+X78+X79+X80+X81+X82+X83+X84+X85+X86+X87+X88+X89</f>
        <v>2451.703383</v>
      </c>
      <c r="Y60" s="42">
        <f>X60/D60</f>
        <v>0.205476120153925</v>
      </c>
      <c r="Z60" s="43">
        <f>Z61+Z62+Z63+Z64+Z65+Z66+Z67+Z68+Z69+Z70+Z71+Z72+Z73+Z74+Z75+Z76+Z77+Z78+Z79+Z80+Z81+Z82+Z83+Z84+Z85+Z86+Z87+Z88+Z89</f>
        <v>1198.032199</v>
      </c>
      <c r="AA60" s="43">
        <f>AA61+AA62+AA63+AA64+AA65+AA66+AA67+AA68+AA69+AA70+AA71+AA72+AA73+AA74+AA75+AA76+AA77+AA78+AA79+AA80+AA81+AA82+AA83+AA84+AA85+AA86+AA87+AA88+AA89</f>
        <v>3649.735582</v>
      </c>
      <c r="AB60" s="42">
        <f t="shared" si="20"/>
        <v>0.305882641504307</v>
      </c>
      <c r="AC60" s="43">
        <f>AC61+AC62+AC63+AC64+AC65+AC66+AC67+AC68+AC69+AC70+AC71+AC72+AC73+AC74+AC75+AC76+AC77+AC78+AC79+AC80+AC81+AC82+AC83+AC84+AC85+AC86+AC87+AC88+AC89</f>
        <v>2816.674293</v>
      </c>
      <c r="AD60" s="43">
        <f>AD61+AD62+AD63+AD64+AD65+AD66+AD67+AD68+AD69+AD70+AD71+AD72+AD73+AD74+AD75+AD76+AD77+AD78+AD79+AD80+AD81+AD82+AD83+AD84+AD85+AD86+AD87+AD88+AD89</f>
        <v>6466.409875</v>
      </c>
      <c r="AE60" s="42">
        <f>AD60/D60</f>
        <v>0.541946803864252</v>
      </c>
      <c r="AF60" s="43">
        <f>AF61+AF62+AF63+AF64+AF65+AF66+AF67+AF68+AF69+AF70+AF71+AF72+AF73+AF74+AF75+AF76+AF77+AF78+AF79+AF80+AF81+AF82+AF83+AF84+AF85+AF86+AF87+AF88+AF89</f>
        <v>1086.611487</v>
      </c>
      <c r="AG60" s="43">
        <f>AG61+AG62+AG63+AG64+AG65+AG66+AG67+AG68+AG69+AG70+AG71+AG72+AG73+AG74+AG75+AG76+AG77+AG78+AG79+AG80+AG81+AG82+AG83+AG84+AG85+AG86+AG87+AG88+AG89</f>
        <v>7553.021362</v>
      </c>
      <c r="AH60" s="42">
        <f>AG60/D60</f>
        <v>0.63301520716769</v>
      </c>
    </row>
    <row r="61" s="4" customFormat="1" ht="170" customHeight="1" spans="1:34">
      <c r="A61" s="19">
        <v>53</v>
      </c>
      <c r="B61" s="35" t="s">
        <v>154</v>
      </c>
      <c r="C61" s="35" t="s">
        <v>155</v>
      </c>
      <c r="D61" s="19">
        <f t="shared" ref="D61:D87" si="22">E61+M61+N61+O61+P61</f>
        <v>380</v>
      </c>
      <c r="E61" s="19">
        <f>G61+H61+I61+J61+K61+L61+F61</f>
        <v>380</v>
      </c>
      <c r="F61" s="19"/>
      <c r="G61" s="36">
        <v>380</v>
      </c>
      <c r="H61" s="31"/>
      <c r="I61" s="31"/>
      <c r="J61" s="31"/>
      <c r="K61" s="31"/>
      <c r="L61" s="31"/>
      <c r="M61" s="19"/>
      <c r="N61" s="19"/>
      <c r="O61" s="19"/>
      <c r="P61" s="19"/>
      <c r="Q61" s="19" t="s">
        <v>87</v>
      </c>
      <c r="R61" s="19"/>
      <c r="S61" s="42">
        <f t="shared" ref="S61:S95" si="23">R61/D61</f>
        <v>0</v>
      </c>
      <c r="T61" s="43"/>
      <c r="U61" s="43">
        <f>R61+T61</f>
        <v>0</v>
      </c>
      <c r="V61" s="42">
        <f t="shared" ref="V61:V95" si="24">U61/D61</f>
        <v>0</v>
      </c>
      <c r="W61" s="43"/>
      <c r="X61" s="43">
        <f>U61+W61</f>
        <v>0</v>
      </c>
      <c r="Y61" s="42">
        <f t="shared" ref="Y61:Y99" si="25">X61/D61</f>
        <v>0</v>
      </c>
      <c r="Z61" s="43"/>
      <c r="AA61" s="43">
        <f>X61+Z61</f>
        <v>0</v>
      </c>
      <c r="AB61" s="42">
        <f t="shared" si="20"/>
        <v>0</v>
      </c>
      <c r="AC61" s="43"/>
      <c r="AD61" s="43">
        <f>AA61+AC61</f>
        <v>0</v>
      </c>
      <c r="AE61" s="42">
        <f t="shared" ref="AE60:AE99" si="26">AD61/D61</f>
        <v>0</v>
      </c>
      <c r="AF61" s="43"/>
      <c r="AG61" s="43">
        <f>AD61+AF61</f>
        <v>0</v>
      </c>
      <c r="AH61" s="42">
        <f t="shared" ref="AH60:AH99" si="27">AG61/D61</f>
        <v>0</v>
      </c>
    </row>
    <row r="62" s="4" customFormat="1" ht="170" customHeight="1" spans="1:34">
      <c r="A62" s="19">
        <v>54</v>
      </c>
      <c r="B62" s="35" t="s">
        <v>156</v>
      </c>
      <c r="C62" s="35" t="s">
        <v>157</v>
      </c>
      <c r="D62" s="19">
        <f t="shared" si="22"/>
        <v>349</v>
      </c>
      <c r="E62" s="19">
        <f t="shared" ref="E62:E87" si="28">G62+H62+I62+J62+K62+L62+F62</f>
        <v>349</v>
      </c>
      <c r="F62" s="19"/>
      <c r="G62" s="36">
        <f>389-40</f>
        <v>349</v>
      </c>
      <c r="H62" s="31"/>
      <c r="I62" s="31"/>
      <c r="J62" s="31"/>
      <c r="K62" s="31"/>
      <c r="L62" s="31"/>
      <c r="M62" s="19"/>
      <c r="N62" s="19"/>
      <c r="O62" s="19"/>
      <c r="P62" s="19"/>
      <c r="Q62" s="19" t="s">
        <v>48</v>
      </c>
      <c r="R62" s="19"/>
      <c r="S62" s="42">
        <f t="shared" si="23"/>
        <v>0</v>
      </c>
      <c r="T62" s="43"/>
      <c r="U62" s="43">
        <f t="shared" ref="U62:U93" si="29">R62+T62</f>
        <v>0</v>
      </c>
      <c r="V62" s="42">
        <f t="shared" si="24"/>
        <v>0</v>
      </c>
      <c r="W62" s="43"/>
      <c r="X62" s="43">
        <f t="shared" ref="X62:X93" si="30">U62+W62</f>
        <v>0</v>
      </c>
      <c r="Y62" s="42">
        <f t="shared" si="25"/>
        <v>0</v>
      </c>
      <c r="Z62" s="43">
        <f>86.954595+19.7535</f>
        <v>106.708095</v>
      </c>
      <c r="AA62" s="43">
        <f t="shared" ref="AA61:AA93" si="31">X62+Z62</f>
        <v>106.708095</v>
      </c>
      <c r="AB62" s="42">
        <f t="shared" si="20"/>
        <v>0.305753853868195</v>
      </c>
      <c r="AC62" s="43">
        <v>87.673295</v>
      </c>
      <c r="AD62" s="43">
        <f t="shared" ref="AD62:AD93" si="32">AA62+AC62</f>
        <v>194.38139</v>
      </c>
      <c r="AE62" s="42">
        <f t="shared" si="26"/>
        <v>0.556966733524355</v>
      </c>
      <c r="AF62" s="43">
        <v>57.20933</v>
      </c>
      <c r="AG62" s="43">
        <f t="shared" ref="AG62:AG87" si="33">AD62+AF62</f>
        <v>251.59072</v>
      </c>
      <c r="AH62" s="42">
        <f t="shared" si="27"/>
        <v>0.720890315186246</v>
      </c>
    </row>
    <row r="63" s="4" customFormat="1" ht="170" customHeight="1" spans="1:34">
      <c r="A63" s="19">
        <v>55</v>
      </c>
      <c r="B63" s="35" t="s">
        <v>158</v>
      </c>
      <c r="C63" s="35" t="s">
        <v>159</v>
      </c>
      <c r="D63" s="19">
        <f t="shared" si="22"/>
        <v>385</v>
      </c>
      <c r="E63" s="19">
        <f t="shared" si="28"/>
        <v>385</v>
      </c>
      <c r="F63" s="19"/>
      <c r="G63" s="36">
        <v>385</v>
      </c>
      <c r="H63" s="31"/>
      <c r="I63" s="31"/>
      <c r="J63" s="31"/>
      <c r="K63" s="31"/>
      <c r="L63" s="31"/>
      <c r="M63" s="19"/>
      <c r="N63" s="19"/>
      <c r="O63" s="19"/>
      <c r="P63" s="19"/>
      <c r="Q63" s="19" t="s">
        <v>48</v>
      </c>
      <c r="R63" s="19"/>
      <c r="S63" s="42">
        <f t="shared" si="23"/>
        <v>0</v>
      </c>
      <c r="T63" s="43"/>
      <c r="U63" s="43">
        <f t="shared" si="29"/>
        <v>0</v>
      </c>
      <c r="V63" s="42">
        <f t="shared" si="24"/>
        <v>0</v>
      </c>
      <c r="W63" s="43">
        <v>105.37297</v>
      </c>
      <c r="X63" s="43">
        <f t="shared" si="30"/>
        <v>105.37297</v>
      </c>
      <c r="Y63" s="42">
        <f t="shared" si="25"/>
        <v>0.273696025974026</v>
      </c>
      <c r="Z63" s="43">
        <f>1.1335+10.281189</f>
        <v>11.414689</v>
      </c>
      <c r="AA63" s="43">
        <f t="shared" si="31"/>
        <v>116.787659</v>
      </c>
      <c r="AB63" s="42">
        <f t="shared" si="20"/>
        <v>0.303344568831169</v>
      </c>
      <c r="AC63" s="43">
        <v>105.37297</v>
      </c>
      <c r="AD63" s="43">
        <f t="shared" si="32"/>
        <v>222.160629</v>
      </c>
      <c r="AE63" s="42">
        <f t="shared" si="26"/>
        <v>0.577040594805195</v>
      </c>
      <c r="AF63" s="43">
        <v>105.37297</v>
      </c>
      <c r="AG63" s="43">
        <f t="shared" si="33"/>
        <v>327.533599</v>
      </c>
      <c r="AH63" s="42">
        <f t="shared" si="27"/>
        <v>0.850736620779221</v>
      </c>
    </row>
    <row r="64" s="4" customFormat="1" ht="170" customHeight="1" spans="1:34">
      <c r="A64" s="19">
        <v>56</v>
      </c>
      <c r="B64" s="35" t="s">
        <v>160</v>
      </c>
      <c r="C64" s="35" t="s">
        <v>161</v>
      </c>
      <c r="D64" s="19">
        <f t="shared" si="22"/>
        <v>380</v>
      </c>
      <c r="E64" s="19">
        <f t="shared" si="28"/>
        <v>380</v>
      </c>
      <c r="F64" s="19"/>
      <c r="G64" s="36">
        <v>380</v>
      </c>
      <c r="H64" s="31"/>
      <c r="I64" s="31"/>
      <c r="J64" s="31"/>
      <c r="K64" s="31"/>
      <c r="L64" s="31"/>
      <c r="M64" s="19"/>
      <c r="N64" s="19"/>
      <c r="O64" s="19"/>
      <c r="P64" s="19"/>
      <c r="Q64" s="19" t="s">
        <v>48</v>
      </c>
      <c r="R64" s="19"/>
      <c r="S64" s="42">
        <f t="shared" si="23"/>
        <v>0</v>
      </c>
      <c r="T64" s="43"/>
      <c r="U64" s="43">
        <f t="shared" si="29"/>
        <v>0</v>
      </c>
      <c r="V64" s="42">
        <f t="shared" si="24"/>
        <v>0</v>
      </c>
      <c r="W64" s="43">
        <v>99.075872</v>
      </c>
      <c r="X64" s="43">
        <f t="shared" si="30"/>
        <v>99.075872</v>
      </c>
      <c r="Y64" s="42">
        <f t="shared" si="25"/>
        <v>0.260725978947368</v>
      </c>
      <c r="Z64" s="43">
        <f>1.1159+19.882276</f>
        <v>20.998176</v>
      </c>
      <c r="AA64" s="43">
        <f t="shared" si="31"/>
        <v>120.074048</v>
      </c>
      <c r="AB64" s="42">
        <f t="shared" si="20"/>
        <v>0.315984336842105</v>
      </c>
      <c r="AC64" s="43"/>
      <c r="AD64" s="43">
        <f t="shared" si="32"/>
        <v>120.074048</v>
      </c>
      <c r="AE64" s="42">
        <f t="shared" si="26"/>
        <v>0.315984336842105</v>
      </c>
      <c r="AF64" s="43">
        <v>99.075872</v>
      </c>
      <c r="AG64" s="43">
        <f t="shared" si="33"/>
        <v>219.14992</v>
      </c>
      <c r="AH64" s="42">
        <f t="shared" si="27"/>
        <v>0.576710315789474</v>
      </c>
    </row>
    <row r="65" s="4" customFormat="1" ht="170" customHeight="1" spans="1:34">
      <c r="A65" s="19">
        <v>57</v>
      </c>
      <c r="B65" s="35" t="s">
        <v>162</v>
      </c>
      <c r="C65" s="35" t="s">
        <v>163</v>
      </c>
      <c r="D65" s="19">
        <f t="shared" si="22"/>
        <v>119</v>
      </c>
      <c r="E65" s="19">
        <f t="shared" si="28"/>
        <v>119</v>
      </c>
      <c r="F65" s="19"/>
      <c r="G65" s="36">
        <f>144-25</f>
        <v>119</v>
      </c>
      <c r="H65" s="31"/>
      <c r="I65" s="31"/>
      <c r="J65" s="31"/>
      <c r="K65" s="31"/>
      <c r="L65" s="31"/>
      <c r="M65" s="19"/>
      <c r="N65" s="19"/>
      <c r="O65" s="19"/>
      <c r="P65" s="19"/>
      <c r="Q65" s="19" t="s">
        <v>87</v>
      </c>
      <c r="R65" s="19"/>
      <c r="S65" s="42">
        <f t="shared" si="23"/>
        <v>0</v>
      </c>
      <c r="T65" s="43"/>
      <c r="U65" s="43">
        <f t="shared" si="29"/>
        <v>0</v>
      </c>
      <c r="V65" s="42">
        <f t="shared" si="24"/>
        <v>0</v>
      </c>
      <c r="W65" s="43">
        <v>36.5918</v>
      </c>
      <c r="X65" s="43">
        <f t="shared" si="30"/>
        <v>36.5918</v>
      </c>
      <c r="Y65" s="42">
        <f t="shared" si="25"/>
        <v>0.307494117647059</v>
      </c>
      <c r="Z65" s="43">
        <v>33.12</v>
      </c>
      <c r="AA65" s="43">
        <f t="shared" si="31"/>
        <v>69.7118</v>
      </c>
      <c r="AB65" s="42">
        <f t="shared" si="20"/>
        <v>0.585813445378151</v>
      </c>
      <c r="AC65" s="43">
        <v>33.12</v>
      </c>
      <c r="AD65" s="43">
        <f t="shared" si="32"/>
        <v>102.8318</v>
      </c>
      <c r="AE65" s="42">
        <f t="shared" si="26"/>
        <v>0.864132773109244</v>
      </c>
      <c r="AF65" s="43"/>
      <c r="AG65" s="43">
        <f t="shared" si="33"/>
        <v>102.8318</v>
      </c>
      <c r="AH65" s="42">
        <f t="shared" si="27"/>
        <v>0.864132773109244</v>
      </c>
    </row>
    <row r="66" s="4" customFormat="1" ht="170" customHeight="1" spans="1:34">
      <c r="A66" s="19">
        <v>58</v>
      </c>
      <c r="B66" s="35" t="s">
        <v>164</v>
      </c>
      <c r="C66" s="35" t="s">
        <v>61</v>
      </c>
      <c r="D66" s="19">
        <f t="shared" si="22"/>
        <v>320</v>
      </c>
      <c r="E66" s="19">
        <f t="shared" si="28"/>
        <v>320</v>
      </c>
      <c r="F66" s="36">
        <v>320</v>
      </c>
      <c r="H66" s="31"/>
      <c r="I66" s="31"/>
      <c r="J66" s="31"/>
      <c r="K66" s="31"/>
      <c r="L66" s="31"/>
      <c r="M66" s="19"/>
      <c r="N66" s="19"/>
      <c r="O66" s="19"/>
      <c r="P66" s="19"/>
      <c r="Q66" s="19" t="s">
        <v>48</v>
      </c>
      <c r="R66" s="19"/>
      <c r="S66" s="42">
        <f t="shared" si="23"/>
        <v>0</v>
      </c>
      <c r="T66" s="43"/>
      <c r="U66" s="43">
        <f t="shared" si="29"/>
        <v>0</v>
      </c>
      <c r="V66" s="42">
        <f t="shared" si="24"/>
        <v>0</v>
      </c>
      <c r="W66" s="43"/>
      <c r="X66" s="43">
        <f t="shared" si="30"/>
        <v>0</v>
      </c>
      <c r="Y66" s="42">
        <f t="shared" si="25"/>
        <v>0</v>
      </c>
      <c r="Z66" s="43">
        <f>87.030541+21.1</f>
        <v>108.130541</v>
      </c>
      <c r="AA66" s="43">
        <f t="shared" si="31"/>
        <v>108.130541</v>
      </c>
      <c r="AB66" s="42">
        <f t="shared" si="20"/>
        <v>0.337907940625</v>
      </c>
      <c r="AC66" s="43">
        <v>87.780041</v>
      </c>
      <c r="AD66" s="43">
        <f t="shared" si="32"/>
        <v>195.910582</v>
      </c>
      <c r="AE66" s="42">
        <f t="shared" si="26"/>
        <v>0.61222056875</v>
      </c>
      <c r="AF66" s="43"/>
      <c r="AG66" s="43">
        <f t="shared" si="33"/>
        <v>195.910582</v>
      </c>
      <c r="AH66" s="42">
        <f t="shared" si="27"/>
        <v>0.61222056875</v>
      </c>
    </row>
    <row r="67" s="4" customFormat="1" ht="170" customHeight="1" spans="1:34">
      <c r="A67" s="19">
        <v>59</v>
      </c>
      <c r="B67" s="35" t="s">
        <v>165</v>
      </c>
      <c r="C67" s="35" t="s">
        <v>166</v>
      </c>
      <c r="D67" s="19">
        <f t="shared" si="22"/>
        <v>389</v>
      </c>
      <c r="E67" s="19">
        <f t="shared" si="28"/>
        <v>389</v>
      </c>
      <c r="F67" s="19"/>
      <c r="G67" s="36">
        <v>389</v>
      </c>
      <c r="H67" s="31"/>
      <c r="I67" s="31"/>
      <c r="J67" s="31"/>
      <c r="K67" s="31"/>
      <c r="L67" s="31"/>
      <c r="M67" s="19"/>
      <c r="N67" s="19"/>
      <c r="O67" s="19"/>
      <c r="P67" s="19"/>
      <c r="Q67" s="19" t="s">
        <v>80</v>
      </c>
      <c r="R67" s="19"/>
      <c r="S67" s="42">
        <f t="shared" si="23"/>
        <v>0</v>
      </c>
      <c r="T67" s="43"/>
      <c r="U67" s="43">
        <f t="shared" si="29"/>
        <v>0</v>
      </c>
      <c r="V67" s="42">
        <f t="shared" si="24"/>
        <v>0</v>
      </c>
      <c r="W67" s="43">
        <v>106.334119</v>
      </c>
      <c r="X67" s="43">
        <f t="shared" si="30"/>
        <v>106.334119</v>
      </c>
      <c r="Y67" s="42">
        <f t="shared" si="25"/>
        <v>0.273352491002571</v>
      </c>
      <c r="Z67" s="43">
        <v>24.505</v>
      </c>
      <c r="AA67" s="43">
        <f t="shared" si="31"/>
        <v>130.839119</v>
      </c>
      <c r="AB67" s="42">
        <f t="shared" si="20"/>
        <v>0.336347349614396</v>
      </c>
      <c r="AC67" s="43">
        <v>109.6641</v>
      </c>
      <c r="AD67" s="43">
        <f t="shared" si="32"/>
        <v>240.503219</v>
      </c>
      <c r="AE67" s="42">
        <f t="shared" si="26"/>
        <v>0.618260203084833</v>
      </c>
      <c r="AF67" s="43">
        <v>106.3341</v>
      </c>
      <c r="AG67" s="43">
        <f t="shared" si="33"/>
        <v>346.837319</v>
      </c>
      <c r="AH67" s="42">
        <f t="shared" si="27"/>
        <v>0.891612645244216</v>
      </c>
    </row>
    <row r="68" s="4" customFormat="1" ht="170" customHeight="1" spans="1:34">
      <c r="A68" s="19">
        <v>60</v>
      </c>
      <c r="B68" s="35" t="s">
        <v>167</v>
      </c>
      <c r="C68" s="35" t="s">
        <v>168</v>
      </c>
      <c r="D68" s="19">
        <f t="shared" si="22"/>
        <v>375.18</v>
      </c>
      <c r="E68" s="19">
        <f t="shared" si="28"/>
        <v>375.18</v>
      </c>
      <c r="F68" s="19"/>
      <c r="G68" s="36">
        <f>389-13.82</f>
        <v>375.18</v>
      </c>
      <c r="H68" s="31"/>
      <c r="I68" s="31"/>
      <c r="J68" s="31"/>
      <c r="K68" s="31"/>
      <c r="L68" s="31"/>
      <c r="M68" s="19"/>
      <c r="N68" s="19"/>
      <c r="O68" s="19"/>
      <c r="P68" s="19"/>
      <c r="Q68" s="19" t="s">
        <v>68</v>
      </c>
      <c r="R68" s="19"/>
      <c r="S68" s="42">
        <f t="shared" si="23"/>
        <v>0</v>
      </c>
      <c r="T68" s="43"/>
      <c r="U68" s="43">
        <f t="shared" si="29"/>
        <v>0</v>
      </c>
      <c r="V68" s="42">
        <f t="shared" si="24"/>
        <v>0</v>
      </c>
      <c r="W68" s="43">
        <v>104.453657</v>
      </c>
      <c r="X68" s="43">
        <f t="shared" si="30"/>
        <v>104.453657</v>
      </c>
      <c r="Y68" s="42">
        <f t="shared" si="25"/>
        <v>0.27840944879791</v>
      </c>
      <c r="Z68" s="43"/>
      <c r="AA68" s="43">
        <f t="shared" si="31"/>
        <v>104.453657</v>
      </c>
      <c r="AB68" s="42">
        <f t="shared" si="20"/>
        <v>0.27840944879791</v>
      </c>
      <c r="AC68" s="43">
        <f>126.932357+104.453657</f>
        <v>231.386014</v>
      </c>
      <c r="AD68" s="43">
        <f t="shared" si="32"/>
        <v>335.839671</v>
      </c>
      <c r="AE68" s="42">
        <f t="shared" si="26"/>
        <v>0.895142787462018</v>
      </c>
      <c r="AF68" s="43"/>
      <c r="AG68" s="43">
        <f t="shared" si="33"/>
        <v>335.839671</v>
      </c>
      <c r="AH68" s="42">
        <f t="shared" si="27"/>
        <v>0.895142787462018</v>
      </c>
    </row>
    <row r="69" s="4" customFormat="1" ht="196" customHeight="1" spans="1:34">
      <c r="A69" s="19">
        <v>61</v>
      </c>
      <c r="B69" s="35" t="s">
        <v>169</v>
      </c>
      <c r="C69" s="35" t="s">
        <v>170</v>
      </c>
      <c r="D69" s="19">
        <f t="shared" si="22"/>
        <v>388</v>
      </c>
      <c r="E69" s="19">
        <f t="shared" si="28"/>
        <v>388</v>
      </c>
      <c r="F69" s="19"/>
      <c r="G69" s="36">
        <v>388</v>
      </c>
      <c r="H69" s="31"/>
      <c r="I69" s="31"/>
      <c r="J69" s="31"/>
      <c r="K69" s="31"/>
      <c r="L69" s="31"/>
      <c r="M69" s="19"/>
      <c r="N69" s="19"/>
      <c r="O69" s="19"/>
      <c r="P69" s="19"/>
      <c r="Q69" s="19" t="s">
        <v>87</v>
      </c>
      <c r="R69" s="19"/>
      <c r="S69" s="42">
        <f t="shared" si="23"/>
        <v>0</v>
      </c>
      <c r="T69" s="43"/>
      <c r="U69" s="43">
        <f t="shared" si="29"/>
        <v>0</v>
      </c>
      <c r="V69" s="42">
        <f t="shared" si="24"/>
        <v>0</v>
      </c>
      <c r="W69" s="43"/>
      <c r="X69" s="43">
        <f t="shared" si="30"/>
        <v>0</v>
      </c>
      <c r="Y69" s="42">
        <f t="shared" si="25"/>
        <v>0</v>
      </c>
      <c r="Z69" s="43">
        <v>125.285512</v>
      </c>
      <c r="AA69" s="43">
        <f t="shared" si="31"/>
        <v>125.285512</v>
      </c>
      <c r="AB69" s="42">
        <f t="shared" si="20"/>
        <v>0.322900804123711</v>
      </c>
      <c r="AC69" s="43">
        <v>104.88063</v>
      </c>
      <c r="AD69" s="43">
        <f t="shared" si="32"/>
        <v>230.166142</v>
      </c>
      <c r="AE69" s="42">
        <f t="shared" si="26"/>
        <v>0.593211706185567</v>
      </c>
      <c r="AF69" s="43">
        <v>104.880632</v>
      </c>
      <c r="AG69" s="43">
        <f t="shared" si="33"/>
        <v>335.046774</v>
      </c>
      <c r="AH69" s="42">
        <f t="shared" si="27"/>
        <v>0.863522613402062</v>
      </c>
    </row>
    <row r="70" s="4" customFormat="1" ht="197" customHeight="1" spans="1:34">
      <c r="A70" s="19">
        <v>62</v>
      </c>
      <c r="B70" s="35" t="s">
        <v>171</v>
      </c>
      <c r="C70" s="35" t="s">
        <v>172</v>
      </c>
      <c r="D70" s="19">
        <f t="shared" si="22"/>
        <v>350</v>
      </c>
      <c r="E70" s="19">
        <f t="shared" si="28"/>
        <v>350</v>
      </c>
      <c r="F70" s="19"/>
      <c r="G70" s="36">
        <f>389-39</f>
        <v>350</v>
      </c>
      <c r="H70" s="31"/>
      <c r="I70" s="31"/>
      <c r="J70" s="31"/>
      <c r="K70" s="31"/>
      <c r="L70" s="31"/>
      <c r="M70" s="19"/>
      <c r="N70" s="19"/>
      <c r="O70" s="19"/>
      <c r="P70" s="19"/>
      <c r="Q70" s="19" t="s">
        <v>59</v>
      </c>
      <c r="R70" s="19"/>
      <c r="S70" s="42">
        <f t="shared" si="23"/>
        <v>0</v>
      </c>
      <c r="T70" s="43"/>
      <c r="U70" s="43">
        <f t="shared" si="29"/>
        <v>0</v>
      </c>
      <c r="V70" s="42">
        <f t="shared" si="24"/>
        <v>0</v>
      </c>
      <c r="W70" s="43">
        <v>71.414901</v>
      </c>
      <c r="X70" s="43">
        <f t="shared" si="30"/>
        <v>71.414901</v>
      </c>
      <c r="Y70" s="42">
        <f t="shared" si="25"/>
        <v>0.204042574285714</v>
      </c>
      <c r="Z70" s="43">
        <v>30.606386</v>
      </c>
      <c r="AA70" s="43">
        <f t="shared" si="31"/>
        <v>102.021287</v>
      </c>
      <c r="AB70" s="42">
        <f t="shared" si="20"/>
        <v>0.291489391428571</v>
      </c>
      <c r="AC70" s="43">
        <v>122.672746</v>
      </c>
      <c r="AD70" s="43">
        <f t="shared" si="32"/>
        <v>224.694033</v>
      </c>
      <c r="AE70" s="42">
        <f t="shared" si="26"/>
        <v>0.641982951428571</v>
      </c>
      <c r="AF70" s="43">
        <v>136.028383</v>
      </c>
      <c r="AG70" s="43">
        <f t="shared" si="33"/>
        <v>360.722416</v>
      </c>
      <c r="AH70" s="42">
        <f t="shared" si="27"/>
        <v>1.03063547428571</v>
      </c>
    </row>
    <row r="71" s="4" customFormat="1" ht="197" customHeight="1" spans="1:34">
      <c r="A71" s="19">
        <v>63</v>
      </c>
      <c r="B71" s="35" t="s">
        <v>173</v>
      </c>
      <c r="C71" s="35" t="s">
        <v>56</v>
      </c>
      <c r="D71" s="19">
        <f t="shared" si="22"/>
        <v>365</v>
      </c>
      <c r="E71" s="19">
        <f t="shared" si="28"/>
        <v>365</v>
      </c>
      <c r="F71" s="19"/>
      <c r="G71" s="36">
        <f>380-15</f>
        <v>365</v>
      </c>
      <c r="H71" s="31"/>
      <c r="I71" s="31"/>
      <c r="J71" s="31"/>
      <c r="K71" s="31"/>
      <c r="L71" s="31"/>
      <c r="M71" s="19"/>
      <c r="N71" s="19"/>
      <c r="O71" s="19"/>
      <c r="P71" s="19"/>
      <c r="Q71" s="19" t="s">
        <v>51</v>
      </c>
      <c r="R71" s="19"/>
      <c r="S71" s="42">
        <f t="shared" si="23"/>
        <v>0</v>
      </c>
      <c r="T71" s="43"/>
      <c r="U71" s="43">
        <f t="shared" si="29"/>
        <v>0</v>
      </c>
      <c r="V71" s="42">
        <f t="shared" si="24"/>
        <v>0</v>
      </c>
      <c r="W71" s="43"/>
      <c r="X71" s="43">
        <f t="shared" si="30"/>
        <v>0</v>
      </c>
      <c r="Y71" s="42">
        <f t="shared" si="25"/>
        <v>0</v>
      </c>
      <c r="Z71" s="43">
        <v>104.3291</v>
      </c>
      <c r="AA71" s="43">
        <f t="shared" si="31"/>
        <v>104.3291</v>
      </c>
      <c r="AB71" s="42">
        <f t="shared" si="20"/>
        <v>0.285833150684931</v>
      </c>
      <c r="AC71" s="43">
        <v>176.0088</v>
      </c>
      <c r="AD71" s="43">
        <f t="shared" si="32"/>
        <v>280.3379</v>
      </c>
      <c r="AE71" s="42">
        <f t="shared" si="26"/>
        <v>0.76804904109589</v>
      </c>
      <c r="AF71" s="43"/>
      <c r="AG71" s="43">
        <f t="shared" si="33"/>
        <v>280.3379</v>
      </c>
      <c r="AH71" s="42">
        <f t="shared" si="27"/>
        <v>0.76804904109589</v>
      </c>
    </row>
    <row r="72" s="4" customFormat="1" ht="197" customHeight="1" spans="1:34">
      <c r="A72" s="19">
        <v>64</v>
      </c>
      <c r="B72" s="35" t="s">
        <v>174</v>
      </c>
      <c r="C72" s="35" t="s">
        <v>175</v>
      </c>
      <c r="D72" s="19">
        <f t="shared" si="22"/>
        <v>377.311283</v>
      </c>
      <c r="E72" s="19">
        <f t="shared" si="28"/>
        <v>377.311283</v>
      </c>
      <c r="F72" s="19"/>
      <c r="G72" s="36">
        <f>388-10.688717</f>
        <v>377.311283</v>
      </c>
      <c r="H72" s="31"/>
      <c r="I72" s="31"/>
      <c r="J72" s="31"/>
      <c r="K72" s="31"/>
      <c r="L72" s="31"/>
      <c r="M72" s="19"/>
      <c r="N72" s="19"/>
      <c r="O72" s="19"/>
      <c r="P72" s="19"/>
      <c r="Q72" s="19" t="s">
        <v>95</v>
      </c>
      <c r="R72" s="19"/>
      <c r="S72" s="42">
        <f t="shared" si="23"/>
        <v>0</v>
      </c>
      <c r="T72" s="43"/>
      <c r="U72" s="43">
        <f t="shared" si="29"/>
        <v>0</v>
      </c>
      <c r="V72" s="42">
        <f t="shared" si="24"/>
        <v>0</v>
      </c>
      <c r="W72" s="43">
        <v>121.3411</v>
      </c>
      <c r="X72" s="43">
        <f t="shared" si="30"/>
        <v>121.3411</v>
      </c>
      <c r="Y72" s="42">
        <f t="shared" si="25"/>
        <v>0.3215941464438</v>
      </c>
      <c r="Z72" s="43">
        <v>105.1101</v>
      </c>
      <c r="AA72" s="43">
        <f t="shared" si="31"/>
        <v>226.4512</v>
      </c>
      <c r="AB72" s="42">
        <f t="shared" ref="AB72:AB99" si="34">AA72/D72</f>
        <v>0.600170761392259</v>
      </c>
      <c r="AC72" s="43">
        <v>108.0851</v>
      </c>
      <c r="AD72" s="43">
        <f t="shared" si="32"/>
        <v>334.5363</v>
      </c>
      <c r="AE72" s="42">
        <f t="shared" si="26"/>
        <v>0.886632112721633</v>
      </c>
      <c r="AF72" s="43"/>
      <c r="AG72" s="43">
        <f t="shared" si="33"/>
        <v>334.5363</v>
      </c>
      <c r="AH72" s="42">
        <f t="shared" si="27"/>
        <v>0.886632112721633</v>
      </c>
    </row>
    <row r="73" s="4" customFormat="1" ht="197" customHeight="1" spans="1:34">
      <c r="A73" s="19">
        <v>65</v>
      </c>
      <c r="B73" s="35" t="s">
        <v>176</v>
      </c>
      <c r="C73" s="35" t="s">
        <v>177</v>
      </c>
      <c r="D73" s="19">
        <f t="shared" si="22"/>
        <v>381.852738</v>
      </c>
      <c r="E73" s="19">
        <f t="shared" si="28"/>
        <v>381.852738</v>
      </c>
      <c r="F73" s="19"/>
      <c r="G73" s="36">
        <f>384-2.147262</f>
        <v>381.852738</v>
      </c>
      <c r="H73" s="31"/>
      <c r="I73" s="31"/>
      <c r="J73" s="31"/>
      <c r="K73" s="31"/>
      <c r="L73" s="31"/>
      <c r="M73" s="19"/>
      <c r="N73" s="19"/>
      <c r="O73" s="19"/>
      <c r="P73" s="19"/>
      <c r="Q73" s="19" t="s">
        <v>54</v>
      </c>
      <c r="R73" s="19"/>
      <c r="S73" s="42">
        <f t="shared" si="23"/>
        <v>0</v>
      </c>
      <c r="T73" s="43"/>
      <c r="U73" s="43">
        <f t="shared" si="29"/>
        <v>0</v>
      </c>
      <c r="V73" s="42">
        <f t="shared" si="24"/>
        <v>0</v>
      </c>
      <c r="W73" s="43">
        <v>128.940137</v>
      </c>
      <c r="X73" s="43">
        <f t="shared" si="30"/>
        <v>128.940137</v>
      </c>
      <c r="Y73" s="42">
        <f t="shared" si="25"/>
        <v>0.337669798245626</v>
      </c>
      <c r="Z73" s="43">
        <v>105.7255</v>
      </c>
      <c r="AA73" s="43">
        <f t="shared" si="31"/>
        <v>234.665637</v>
      </c>
      <c r="AB73" s="42">
        <f t="shared" si="34"/>
        <v>0.614544858913648</v>
      </c>
      <c r="AC73" s="43">
        <v>105.7255</v>
      </c>
      <c r="AD73" s="43">
        <f t="shared" si="32"/>
        <v>340.391137</v>
      </c>
      <c r="AE73" s="42">
        <f t="shared" si="26"/>
        <v>0.891419919581669</v>
      </c>
      <c r="AF73" s="43"/>
      <c r="AG73" s="43">
        <f t="shared" si="33"/>
        <v>340.391137</v>
      </c>
      <c r="AH73" s="42">
        <f t="shared" si="27"/>
        <v>0.891419919581669</v>
      </c>
    </row>
    <row r="74" s="4" customFormat="1" ht="197" customHeight="1" spans="1:34">
      <c r="A74" s="19">
        <v>66</v>
      </c>
      <c r="B74" s="35" t="s">
        <v>178</v>
      </c>
      <c r="C74" s="35" t="s">
        <v>179</v>
      </c>
      <c r="D74" s="19">
        <f t="shared" si="22"/>
        <v>380.152204</v>
      </c>
      <c r="E74" s="19">
        <f t="shared" si="28"/>
        <v>380.152204</v>
      </c>
      <c r="F74" s="19"/>
      <c r="G74" s="36">
        <f>387-6.847796</f>
        <v>380.152204</v>
      </c>
      <c r="H74" s="31"/>
      <c r="I74" s="31"/>
      <c r="J74" s="31"/>
      <c r="K74" s="31"/>
      <c r="L74" s="31"/>
      <c r="M74" s="19"/>
      <c r="N74" s="19"/>
      <c r="O74" s="19"/>
      <c r="P74" s="19"/>
      <c r="Q74" s="19" t="s">
        <v>104</v>
      </c>
      <c r="R74" s="19"/>
      <c r="S74" s="42">
        <f t="shared" si="23"/>
        <v>0</v>
      </c>
      <c r="T74" s="43"/>
      <c r="U74" s="43">
        <f t="shared" si="29"/>
        <v>0</v>
      </c>
      <c r="V74" s="42">
        <f t="shared" si="24"/>
        <v>0</v>
      </c>
      <c r="W74" s="43">
        <v>123.2185</v>
      </c>
      <c r="X74" s="43">
        <f t="shared" si="30"/>
        <v>123.2185</v>
      </c>
      <c r="Y74" s="42">
        <f t="shared" si="25"/>
        <v>0.324129384766108</v>
      </c>
      <c r="Z74" s="43">
        <v>109.1886</v>
      </c>
      <c r="AA74" s="43">
        <f t="shared" si="31"/>
        <v>232.4071</v>
      </c>
      <c r="AB74" s="42">
        <f t="shared" si="34"/>
        <v>0.611352762274134</v>
      </c>
      <c r="AC74" s="43">
        <v>104.3886</v>
      </c>
      <c r="AD74" s="43">
        <f t="shared" si="32"/>
        <v>336.7957</v>
      </c>
      <c r="AE74" s="42">
        <f t="shared" si="26"/>
        <v>0.885949618221864</v>
      </c>
      <c r="AF74" s="43"/>
      <c r="AG74" s="43">
        <f t="shared" si="33"/>
        <v>336.7957</v>
      </c>
      <c r="AH74" s="42">
        <f t="shared" si="27"/>
        <v>0.885949618221864</v>
      </c>
    </row>
    <row r="75" s="4" customFormat="1" ht="197" customHeight="1" spans="1:34">
      <c r="A75" s="19">
        <v>67</v>
      </c>
      <c r="B75" s="35" t="s">
        <v>180</v>
      </c>
      <c r="C75" s="35" t="s">
        <v>181</v>
      </c>
      <c r="D75" s="19">
        <f t="shared" si="22"/>
        <v>386.826535</v>
      </c>
      <c r="E75" s="19">
        <f t="shared" si="28"/>
        <v>386.826535</v>
      </c>
      <c r="F75" s="19"/>
      <c r="G75" s="36">
        <f>387-0.173465</f>
        <v>386.826535</v>
      </c>
      <c r="H75" s="31"/>
      <c r="I75" s="31"/>
      <c r="J75" s="31"/>
      <c r="K75" s="31"/>
      <c r="L75" s="31"/>
      <c r="M75" s="19"/>
      <c r="N75" s="19"/>
      <c r="O75" s="19"/>
      <c r="P75" s="19"/>
      <c r="Q75" s="19" t="s">
        <v>104</v>
      </c>
      <c r="R75" s="19"/>
      <c r="S75" s="42">
        <f t="shared" si="23"/>
        <v>0</v>
      </c>
      <c r="T75" s="43"/>
      <c r="U75" s="43">
        <f t="shared" si="29"/>
        <v>0</v>
      </c>
      <c r="V75" s="42">
        <f t="shared" si="24"/>
        <v>0</v>
      </c>
      <c r="W75" s="43">
        <v>122.881</v>
      </c>
      <c r="X75" s="43">
        <f t="shared" si="30"/>
        <v>122.881</v>
      </c>
      <c r="Y75" s="42">
        <f t="shared" si="25"/>
        <v>0.317664350507909</v>
      </c>
      <c r="Z75" s="43">
        <v>116.1523</v>
      </c>
      <c r="AA75" s="43">
        <f t="shared" si="31"/>
        <v>239.0333</v>
      </c>
      <c r="AB75" s="42">
        <f t="shared" si="34"/>
        <v>0.617934082520994</v>
      </c>
      <c r="AC75" s="43">
        <v>105.1023</v>
      </c>
      <c r="AD75" s="43">
        <f t="shared" si="32"/>
        <v>344.1356</v>
      </c>
      <c r="AE75" s="42">
        <f t="shared" si="26"/>
        <v>0.889638038920986</v>
      </c>
      <c r="AF75" s="43"/>
      <c r="AG75" s="43">
        <f t="shared" si="33"/>
        <v>344.1356</v>
      </c>
      <c r="AH75" s="42">
        <f t="shared" si="27"/>
        <v>0.889638038920986</v>
      </c>
    </row>
    <row r="76" s="4" customFormat="1" ht="197" customHeight="1" spans="1:34">
      <c r="A76" s="19">
        <v>68</v>
      </c>
      <c r="B76" s="35" t="s">
        <v>182</v>
      </c>
      <c r="C76" s="35" t="s">
        <v>183</v>
      </c>
      <c r="D76" s="19">
        <f t="shared" si="22"/>
        <v>372</v>
      </c>
      <c r="E76" s="19">
        <f t="shared" si="28"/>
        <v>372</v>
      </c>
      <c r="F76" s="19"/>
      <c r="G76" s="36">
        <f>387-15</f>
        <v>372</v>
      </c>
      <c r="H76" s="31"/>
      <c r="I76" s="31"/>
      <c r="J76" s="31"/>
      <c r="K76" s="31"/>
      <c r="L76" s="31"/>
      <c r="M76" s="19"/>
      <c r="N76" s="19"/>
      <c r="O76" s="19"/>
      <c r="P76" s="19"/>
      <c r="Q76" s="19" t="s">
        <v>141</v>
      </c>
      <c r="R76" s="19"/>
      <c r="S76" s="42">
        <f t="shared" si="23"/>
        <v>0</v>
      </c>
      <c r="T76" s="43"/>
      <c r="U76" s="43">
        <f t="shared" si="29"/>
        <v>0</v>
      </c>
      <c r="V76" s="42">
        <f t="shared" si="24"/>
        <v>0</v>
      </c>
      <c r="W76" s="43">
        <v>103.6226</v>
      </c>
      <c r="X76" s="43">
        <f t="shared" si="30"/>
        <v>103.6226</v>
      </c>
      <c r="Y76" s="42">
        <f t="shared" si="25"/>
        <v>0.278555376344086</v>
      </c>
      <c r="Z76" s="43"/>
      <c r="AA76" s="43">
        <f t="shared" si="31"/>
        <v>103.6226</v>
      </c>
      <c r="AB76" s="42">
        <f t="shared" si="34"/>
        <v>0.278555376344086</v>
      </c>
      <c r="AC76" s="43">
        <v>124.7199</v>
      </c>
      <c r="AD76" s="43">
        <f t="shared" si="32"/>
        <v>228.3425</v>
      </c>
      <c r="AE76" s="42">
        <f t="shared" si="26"/>
        <v>0.613823924731183</v>
      </c>
      <c r="AF76" s="43">
        <v>103.6226</v>
      </c>
      <c r="AG76" s="43">
        <f t="shared" si="33"/>
        <v>331.9651</v>
      </c>
      <c r="AH76" s="42">
        <f t="shared" si="27"/>
        <v>0.892379301075269</v>
      </c>
    </row>
    <row r="77" s="4" customFormat="1" ht="197" customHeight="1" spans="1:34">
      <c r="A77" s="19">
        <v>69</v>
      </c>
      <c r="B77" s="35" t="s">
        <v>184</v>
      </c>
      <c r="C77" s="35" t="s">
        <v>185</v>
      </c>
      <c r="D77" s="19">
        <f t="shared" si="22"/>
        <v>389</v>
      </c>
      <c r="E77" s="19">
        <f t="shared" si="28"/>
        <v>389</v>
      </c>
      <c r="F77" s="19"/>
      <c r="G77" s="36">
        <v>389</v>
      </c>
      <c r="H77" s="31"/>
      <c r="I77" s="31"/>
      <c r="J77" s="31"/>
      <c r="K77" s="31"/>
      <c r="L77" s="31"/>
      <c r="M77" s="19"/>
      <c r="N77" s="19"/>
      <c r="O77" s="19"/>
      <c r="P77" s="19"/>
      <c r="Q77" s="19" t="s">
        <v>80</v>
      </c>
      <c r="R77" s="19"/>
      <c r="S77" s="42">
        <f t="shared" si="23"/>
        <v>0</v>
      </c>
      <c r="T77" s="43"/>
      <c r="U77" s="43">
        <f t="shared" si="29"/>
        <v>0</v>
      </c>
      <c r="V77" s="42">
        <f t="shared" si="24"/>
        <v>0</v>
      </c>
      <c r="W77" s="43">
        <v>103.279869</v>
      </c>
      <c r="X77" s="43">
        <f t="shared" si="30"/>
        <v>103.279869</v>
      </c>
      <c r="Y77" s="42">
        <f t="shared" si="25"/>
        <v>0.265500948586118</v>
      </c>
      <c r="Z77" s="43">
        <v>26.766</v>
      </c>
      <c r="AA77" s="43">
        <f t="shared" si="31"/>
        <v>130.045869</v>
      </c>
      <c r="AB77" s="42">
        <f t="shared" si="34"/>
        <v>0.334308146529563</v>
      </c>
      <c r="AC77" s="43">
        <v>106.7298</v>
      </c>
      <c r="AD77" s="43">
        <f t="shared" si="32"/>
        <v>236.775669</v>
      </c>
      <c r="AE77" s="42">
        <f t="shared" si="26"/>
        <v>0.608677812339332</v>
      </c>
      <c r="AF77" s="43">
        <v>103.2798</v>
      </c>
      <c r="AG77" s="43">
        <f t="shared" si="33"/>
        <v>340.055469</v>
      </c>
      <c r="AH77" s="42">
        <f t="shared" si="27"/>
        <v>0.874178583547558</v>
      </c>
    </row>
    <row r="78" s="4" customFormat="1" ht="197" customHeight="1" spans="1:34">
      <c r="A78" s="19">
        <v>70</v>
      </c>
      <c r="B78" s="35" t="s">
        <v>186</v>
      </c>
      <c r="C78" s="35" t="s">
        <v>187</v>
      </c>
      <c r="D78" s="19">
        <f t="shared" si="22"/>
        <v>379</v>
      </c>
      <c r="E78" s="19">
        <f t="shared" si="28"/>
        <v>379</v>
      </c>
      <c r="F78" s="19"/>
      <c r="G78" s="36">
        <f>384-5</f>
        <v>379</v>
      </c>
      <c r="H78" s="31"/>
      <c r="I78" s="31"/>
      <c r="J78" s="31"/>
      <c r="K78" s="31"/>
      <c r="L78" s="31"/>
      <c r="M78" s="19"/>
      <c r="N78" s="19"/>
      <c r="O78" s="19"/>
      <c r="P78" s="19"/>
      <c r="Q78" s="19" t="s">
        <v>51</v>
      </c>
      <c r="R78" s="19"/>
      <c r="S78" s="42">
        <f t="shared" si="23"/>
        <v>0</v>
      </c>
      <c r="T78" s="43"/>
      <c r="U78" s="43">
        <f t="shared" si="29"/>
        <v>0</v>
      </c>
      <c r="V78" s="42">
        <f t="shared" si="24"/>
        <v>0</v>
      </c>
      <c r="W78" s="43">
        <v>109.6131</v>
      </c>
      <c r="X78" s="43">
        <f t="shared" si="30"/>
        <v>109.6131</v>
      </c>
      <c r="Y78" s="42">
        <f t="shared" si="25"/>
        <v>0.289216622691293</v>
      </c>
      <c r="Z78" s="43"/>
      <c r="AA78" s="43">
        <f t="shared" si="31"/>
        <v>109.6131</v>
      </c>
      <c r="AB78" s="42">
        <f t="shared" si="34"/>
        <v>0.289216622691293</v>
      </c>
      <c r="AC78" s="43">
        <v>182.6355</v>
      </c>
      <c r="AD78" s="43">
        <f t="shared" si="32"/>
        <v>292.2486</v>
      </c>
      <c r="AE78" s="42">
        <f t="shared" si="26"/>
        <v>0.771104485488127</v>
      </c>
      <c r="AF78" s="43"/>
      <c r="AG78" s="43">
        <f t="shared" si="33"/>
        <v>292.2486</v>
      </c>
      <c r="AH78" s="42">
        <f t="shared" si="27"/>
        <v>0.771104485488127</v>
      </c>
    </row>
    <row r="79" s="4" customFormat="1" ht="93" customHeight="1" spans="1:34">
      <c r="A79" s="19">
        <v>71</v>
      </c>
      <c r="B79" s="35" t="s">
        <v>188</v>
      </c>
      <c r="C79" s="35" t="s">
        <v>106</v>
      </c>
      <c r="D79" s="19">
        <f t="shared" si="22"/>
        <v>300</v>
      </c>
      <c r="E79" s="19">
        <f t="shared" si="28"/>
        <v>300</v>
      </c>
      <c r="F79" s="19"/>
      <c r="G79" s="36">
        <v>300</v>
      </c>
      <c r="H79" s="31"/>
      <c r="I79" s="31"/>
      <c r="J79" s="31"/>
      <c r="K79" s="31"/>
      <c r="L79" s="31"/>
      <c r="M79" s="19"/>
      <c r="N79" s="19"/>
      <c r="O79" s="19"/>
      <c r="P79" s="19"/>
      <c r="Q79" s="19" t="s">
        <v>64</v>
      </c>
      <c r="R79" s="19"/>
      <c r="S79" s="42">
        <f t="shared" si="23"/>
        <v>0</v>
      </c>
      <c r="T79" s="43"/>
      <c r="U79" s="43">
        <f t="shared" si="29"/>
        <v>0</v>
      </c>
      <c r="V79" s="42">
        <f t="shared" si="24"/>
        <v>0</v>
      </c>
      <c r="W79" s="43">
        <v>130.086723</v>
      </c>
      <c r="X79" s="43">
        <f t="shared" si="30"/>
        <v>130.086723</v>
      </c>
      <c r="Y79" s="42">
        <f t="shared" si="25"/>
        <v>0.43362241</v>
      </c>
      <c r="Z79" s="43"/>
      <c r="AA79" s="43">
        <f t="shared" si="31"/>
        <v>130.086723</v>
      </c>
      <c r="AB79" s="42">
        <f t="shared" si="34"/>
        <v>0.43362241</v>
      </c>
      <c r="AC79" s="43">
        <v>169.913277</v>
      </c>
      <c r="AD79" s="43">
        <f t="shared" si="32"/>
        <v>300</v>
      </c>
      <c r="AE79" s="42">
        <f t="shared" si="26"/>
        <v>1</v>
      </c>
      <c r="AF79" s="43"/>
      <c r="AG79" s="43">
        <f t="shared" si="33"/>
        <v>300</v>
      </c>
      <c r="AH79" s="42">
        <f t="shared" si="27"/>
        <v>1</v>
      </c>
    </row>
    <row r="80" s="4" customFormat="1" ht="93" customHeight="1" spans="1:34">
      <c r="A80" s="19">
        <v>72</v>
      </c>
      <c r="B80" s="35" t="s">
        <v>189</v>
      </c>
      <c r="C80" s="35" t="s">
        <v>106</v>
      </c>
      <c r="D80" s="19">
        <f t="shared" si="22"/>
        <v>169</v>
      </c>
      <c r="E80" s="19">
        <f t="shared" si="28"/>
        <v>169</v>
      </c>
      <c r="F80" s="19"/>
      <c r="G80" s="36">
        <v>169</v>
      </c>
      <c r="H80" s="31"/>
      <c r="I80" s="31"/>
      <c r="J80" s="31"/>
      <c r="K80" s="31"/>
      <c r="L80" s="31"/>
      <c r="M80" s="19"/>
      <c r="N80" s="19"/>
      <c r="O80" s="19"/>
      <c r="P80" s="19"/>
      <c r="Q80" s="19" t="s">
        <v>64</v>
      </c>
      <c r="R80" s="19"/>
      <c r="S80" s="42">
        <f t="shared" si="23"/>
        <v>0</v>
      </c>
      <c r="T80" s="43"/>
      <c r="U80" s="43">
        <f t="shared" si="29"/>
        <v>0</v>
      </c>
      <c r="V80" s="42">
        <f t="shared" si="24"/>
        <v>0</v>
      </c>
      <c r="W80" s="43">
        <v>60.261337</v>
      </c>
      <c r="X80" s="43">
        <f t="shared" si="30"/>
        <v>60.261337</v>
      </c>
      <c r="Y80" s="42">
        <f t="shared" si="25"/>
        <v>0.356575958579882</v>
      </c>
      <c r="Z80" s="43"/>
      <c r="AA80" s="43">
        <f t="shared" si="31"/>
        <v>60.261337</v>
      </c>
      <c r="AB80" s="42">
        <f t="shared" si="34"/>
        <v>0.356575958579882</v>
      </c>
      <c r="AC80" s="43"/>
      <c r="AD80" s="43">
        <f t="shared" si="32"/>
        <v>60.261337</v>
      </c>
      <c r="AE80" s="42">
        <f t="shared" si="26"/>
        <v>0.356575958579882</v>
      </c>
      <c r="AF80" s="43"/>
      <c r="AG80" s="43">
        <f t="shared" si="33"/>
        <v>60.261337</v>
      </c>
      <c r="AH80" s="42">
        <f t="shared" si="27"/>
        <v>0.356575958579882</v>
      </c>
    </row>
    <row r="81" s="4" customFormat="1" ht="93" customHeight="1" spans="1:34">
      <c r="A81" s="19">
        <v>73</v>
      </c>
      <c r="B81" s="35" t="s">
        <v>190</v>
      </c>
      <c r="C81" s="35" t="s">
        <v>191</v>
      </c>
      <c r="D81" s="19">
        <f t="shared" si="22"/>
        <v>622.3178</v>
      </c>
      <c r="E81" s="19">
        <f t="shared" si="28"/>
        <v>622.3178</v>
      </c>
      <c r="F81" s="19">
        <v>162.2</v>
      </c>
      <c r="G81" s="36">
        <f>484.6-24.4822</f>
        <v>460.1178</v>
      </c>
      <c r="H81" s="31"/>
      <c r="I81" s="31"/>
      <c r="J81" s="31"/>
      <c r="K81" s="31"/>
      <c r="L81" s="31"/>
      <c r="M81" s="19"/>
      <c r="N81" s="19"/>
      <c r="O81" s="19"/>
      <c r="P81" s="19"/>
      <c r="Q81" s="19" t="s">
        <v>64</v>
      </c>
      <c r="R81" s="19"/>
      <c r="S81" s="42">
        <f t="shared" si="23"/>
        <v>0</v>
      </c>
      <c r="T81" s="43"/>
      <c r="U81" s="43">
        <f t="shared" si="29"/>
        <v>0</v>
      </c>
      <c r="V81" s="42">
        <f t="shared" si="24"/>
        <v>0</v>
      </c>
      <c r="W81" s="43">
        <v>306.8517</v>
      </c>
      <c r="X81" s="43">
        <f t="shared" si="30"/>
        <v>306.8517</v>
      </c>
      <c r="Y81" s="42">
        <f t="shared" si="25"/>
        <v>0.493078777434938</v>
      </c>
      <c r="Z81" s="43"/>
      <c r="AA81" s="43">
        <f t="shared" si="31"/>
        <v>306.8517</v>
      </c>
      <c r="AB81" s="42">
        <f t="shared" si="34"/>
        <v>0.493078777434938</v>
      </c>
      <c r="AC81" s="43"/>
      <c r="AD81" s="43">
        <f t="shared" si="32"/>
        <v>306.8517</v>
      </c>
      <c r="AE81" s="42">
        <f t="shared" si="26"/>
        <v>0.493078777434938</v>
      </c>
      <c r="AF81" s="43"/>
      <c r="AG81" s="43">
        <f t="shared" si="33"/>
        <v>306.8517</v>
      </c>
      <c r="AH81" s="42">
        <f t="shared" si="27"/>
        <v>0.493078777434938</v>
      </c>
    </row>
    <row r="82" s="4" customFormat="1" ht="150" customHeight="1" spans="1:34">
      <c r="A82" s="19">
        <v>74</v>
      </c>
      <c r="B82" s="35" t="s">
        <v>192</v>
      </c>
      <c r="C82" s="35" t="s">
        <v>193</v>
      </c>
      <c r="D82" s="19">
        <f t="shared" si="22"/>
        <v>354.249473</v>
      </c>
      <c r="E82" s="19">
        <f t="shared" si="28"/>
        <v>354.249473</v>
      </c>
      <c r="F82" s="19"/>
      <c r="G82" s="36">
        <f>389-34.750527</f>
        <v>354.249473</v>
      </c>
      <c r="H82" s="31"/>
      <c r="I82" s="31"/>
      <c r="J82" s="31"/>
      <c r="K82" s="31"/>
      <c r="L82" s="31"/>
      <c r="M82" s="19"/>
      <c r="N82" s="19"/>
      <c r="O82" s="19"/>
      <c r="P82" s="19"/>
      <c r="Q82" s="19" t="s">
        <v>110</v>
      </c>
      <c r="R82" s="19"/>
      <c r="S82" s="42">
        <f t="shared" si="23"/>
        <v>0</v>
      </c>
      <c r="T82" s="43"/>
      <c r="U82" s="43">
        <f t="shared" si="29"/>
        <v>0</v>
      </c>
      <c r="V82" s="42">
        <f t="shared" si="24"/>
        <v>0</v>
      </c>
      <c r="W82" s="43"/>
      <c r="X82" s="43">
        <f t="shared" si="30"/>
        <v>0</v>
      </c>
      <c r="Y82" s="42">
        <f t="shared" si="25"/>
        <v>0</v>
      </c>
      <c r="Z82" s="43">
        <f>113.559-29.4076</f>
        <v>84.1514</v>
      </c>
      <c r="AA82" s="43">
        <f t="shared" si="31"/>
        <v>84.1514</v>
      </c>
      <c r="AB82" s="42">
        <f t="shared" si="34"/>
        <v>0.237548412669057</v>
      </c>
      <c r="AC82" s="43">
        <v>29.4076</v>
      </c>
      <c r="AD82" s="43">
        <f t="shared" si="32"/>
        <v>113.559</v>
      </c>
      <c r="AE82" s="42">
        <f t="shared" si="26"/>
        <v>0.320562227060815</v>
      </c>
      <c r="AF82" s="43">
        <v>98.0253</v>
      </c>
      <c r="AG82" s="43">
        <f t="shared" si="33"/>
        <v>211.5843</v>
      </c>
      <c r="AH82" s="42">
        <f t="shared" si="27"/>
        <v>0.59727484760436</v>
      </c>
    </row>
    <row r="83" s="4" customFormat="1" ht="205" customHeight="1" spans="1:34">
      <c r="A83" s="19">
        <v>75</v>
      </c>
      <c r="B83" s="35" t="s">
        <v>194</v>
      </c>
      <c r="C83" s="35" t="s">
        <v>195</v>
      </c>
      <c r="D83" s="19">
        <f t="shared" si="22"/>
        <v>600</v>
      </c>
      <c r="E83" s="19">
        <f t="shared" si="28"/>
        <v>600</v>
      </c>
      <c r="F83" s="19"/>
      <c r="G83" s="36">
        <v>600</v>
      </c>
      <c r="H83" s="31"/>
      <c r="I83" s="31"/>
      <c r="J83" s="31"/>
      <c r="K83" s="31"/>
      <c r="L83" s="31"/>
      <c r="M83" s="19"/>
      <c r="N83" s="19"/>
      <c r="O83" s="19"/>
      <c r="P83" s="19"/>
      <c r="Q83" s="19" t="s">
        <v>110</v>
      </c>
      <c r="R83" s="19"/>
      <c r="S83" s="42">
        <f t="shared" si="23"/>
        <v>0</v>
      </c>
      <c r="T83" s="43"/>
      <c r="U83" s="43">
        <f t="shared" si="29"/>
        <v>0</v>
      </c>
      <c r="V83" s="42">
        <f t="shared" si="24"/>
        <v>0</v>
      </c>
      <c r="W83" s="43">
        <v>277.6597</v>
      </c>
      <c r="X83" s="43">
        <f t="shared" si="30"/>
        <v>277.6597</v>
      </c>
      <c r="Y83" s="42">
        <f t="shared" si="25"/>
        <v>0.462766166666667</v>
      </c>
      <c r="Z83" s="43">
        <v>2.4</v>
      </c>
      <c r="AA83" s="43">
        <f t="shared" si="31"/>
        <v>280.0597</v>
      </c>
      <c r="AB83" s="42">
        <f t="shared" si="34"/>
        <v>0.466766166666667</v>
      </c>
      <c r="AC83" s="43">
        <v>256.8795</v>
      </c>
      <c r="AD83" s="43">
        <f t="shared" si="32"/>
        <v>536.9392</v>
      </c>
      <c r="AE83" s="42">
        <f t="shared" si="26"/>
        <v>0.894898666666667</v>
      </c>
      <c r="AF83" s="43"/>
      <c r="AG83" s="43">
        <f t="shared" si="33"/>
        <v>536.9392</v>
      </c>
      <c r="AH83" s="42">
        <f t="shared" si="27"/>
        <v>0.894898666666667</v>
      </c>
    </row>
    <row r="84" s="4" customFormat="1" ht="124" customHeight="1" spans="1:34">
      <c r="A84" s="19">
        <v>76</v>
      </c>
      <c r="B84" s="35" t="s">
        <v>196</v>
      </c>
      <c r="C84" s="35" t="s">
        <v>195</v>
      </c>
      <c r="D84" s="19">
        <f t="shared" si="22"/>
        <v>163.3158</v>
      </c>
      <c r="E84" s="19">
        <f t="shared" si="28"/>
        <v>163.3158</v>
      </c>
      <c r="F84" s="19"/>
      <c r="G84" s="36">
        <f>171.6-8.2842</f>
        <v>163.3158</v>
      </c>
      <c r="H84" s="31"/>
      <c r="I84" s="31"/>
      <c r="J84" s="31"/>
      <c r="K84" s="31"/>
      <c r="L84" s="31"/>
      <c r="M84" s="19"/>
      <c r="N84" s="19"/>
      <c r="O84" s="19"/>
      <c r="P84" s="19"/>
      <c r="Q84" s="19" t="s">
        <v>110</v>
      </c>
      <c r="R84" s="19"/>
      <c r="S84" s="42">
        <f t="shared" si="23"/>
        <v>0</v>
      </c>
      <c r="T84" s="43"/>
      <c r="U84" s="43">
        <f t="shared" si="29"/>
        <v>0</v>
      </c>
      <c r="V84" s="42">
        <f t="shared" si="24"/>
        <v>0</v>
      </c>
      <c r="W84" s="43"/>
      <c r="X84" s="43">
        <f t="shared" si="30"/>
        <v>0</v>
      </c>
      <c r="Y84" s="42">
        <f t="shared" si="25"/>
        <v>0</v>
      </c>
      <c r="Z84" s="43">
        <v>83.4408</v>
      </c>
      <c r="AA84" s="43">
        <f t="shared" si="31"/>
        <v>83.4408</v>
      </c>
      <c r="AB84" s="42">
        <f t="shared" si="34"/>
        <v>0.510916886180027</v>
      </c>
      <c r="AC84" s="43"/>
      <c r="AD84" s="43">
        <f t="shared" si="32"/>
        <v>83.4408</v>
      </c>
      <c r="AE84" s="42">
        <f t="shared" si="26"/>
        <v>0.510916886180027</v>
      </c>
      <c r="AF84" s="43">
        <v>63.898</v>
      </c>
      <c r="AG84" s="43">
        <f t="shared" si="33"/>
        <v>147.3388</v>
      </c>
      <c r="AH84" s="42">
        <f t="shared" si="27"/>
        <v>0.902171131023453</v>
      </c>
    </row>
    <row r="85" s="4" customFormat="1" ht="212" customHeight="1" spans="1:34">
      <c r="A85" s="19">
        <v>77</v>
      </c>
      <c r="B85" s="35" t="s">
        <v>197</v>
      </c>
      <c r="C85" s="35" t="s">
        <v>198</v>
      </c>
      <c r="D85" s="19">
        <f t="shared" si="22"/>
        <v>372</v>
      </c>
      <c r="E85" s="19">
        <f t="shared" si="28"/>
        <v>372</v>
      </c>
      <c r="F85" s="19"/>
      <c r="G85" s="36">
        <v>0</v>
      </c>
      <c r="H85" s="31">
        <v>372</v>
      </c>
      <c r="I85" s="31"/>
      <c r="J85" s="31"/>
      <c r="K85" s="31"/>
      <c r="L85" s="31"/>
      <c r="M85" s="19"/>
      <c r="N85" s="19"/>
      <c r="O85" s="19"/>
      <c r="P85" s="19"/>
      <c r="Q85" s="19" t="s">
        <v>199</v>
      </c>
      <c r="R85" s="19"/>
      <c r="S85" s="42">
        <f t="shared" si="23"/>
        <v>0</v>
      </c>
      <c r="T85" s="43"/>
      <c r="U85" s="43">
        <f t="shared" si="29"/>
        <v>0</v>
      </c>
      <c r="V85" s="42">
        <f t="shared" si="24"/>
        <v>0</v>
      </c>
      <c r="W85" s="43">
        <v>108.884563</v>
      </c>
      <c r="X85" s="43">
        <f t="shared" si="30"/>
        <v>108.884563</v>
      </c>
      <c r="Y85" s="42">
        <f t="shared" si="25"/>
        <v>0.292700438172043</v>
      </c>
      <c r="Z85" s="43"/>
      <c r="AA85" s="43">
        <f t="shared" si="31"/>
        <v>108.884563</v>
      </c>
      <c r="AB85" s="42">
        <f t="shared" si="34"/>
        <v>0.292700438172043</v>
      </c>
      <c r="AC85" s="43">
        <v>108.8845</v>
      </c>
      <c r="AD85" s="43">
        <f t="shared" si="32"/>
        <v>217.769063</v>
      </c>
      <c r="AE85" s="42">
        <f t="shared" si="26"/>
        <v>0.585400706989247</v>
      </c>
      <c r="AF85" s="43">
        <v>108.8845</v>
      </c>
      <c r="AG85" s="43">
        <f t="shared" si="33"/>
        <v>326.653563</v>
      </c>
      <c r="AH85" s="42">
        <f t="shared" si="27"/>
        <v>0.878100975806452</v>
      </c>
    </row>
    <row r="86" s="4" customFormat="1" ht="93" customHeight="1" spans="1:34">
      <c r="A86" s="19">
        <v>78</v>
      </c>
      <c r="B86" s="35" t="s">
        <v>200</v>
      </c>
      <c r="C86" s="35" t="s">
        <v>201</v>
      </c>
      <c r="D86" s="19">
        <f t="shared" si="22"/>
        <v>393</v>
      </c>
      <c r="E86" s="19">
        <f t="shared" si="28"/>
        <v>393</v>
      </c>
      <c r="F86" s="19"/>
      <c r="G86" s="36">
        <v>0</v>
      </c>
      <c r="H86" s="31">
        <v>393</v>
      </c>
      <c r="I86" s="31"/>
      <c r="J86" s="31"/>
      <c r="K86" s="31"/>
      <c r="L86" s="31"/>
      <c r="M86" s="19"/>
      <c r="N86" s="19"/>
      <c r="O86" s="19"/>
      <c r="P86" s="19"/>
      <c r="Q86" s="19" t="s">
        <v>199</v>
      </c>
      <c r="R86" s="19"/>
      <c r="S86" s="42">
        <f t="shared" si="23"/>
        <v>0</v>
      </c>
      <c r="T86" s="43"/>
      <c r="U86" s="43">
        <f t="shared" si="29"/>
        <v>0</v>
      </c>
      <c r="V86" s="42">
        <f t="shared" si="24"/>
        <v>0</v>
      </c>
      <c r="W86" s="43">
        <v>124.977735</v>
      </c>
      <c r="X86" s="43">
        <f t="shared" si="30"/>
        <v>124.977735</v>
      </c>
      <c r="Y86" s="42">
        <f t="shared" si="25"/>
        <v>0.318009503816794</v>
      </c>
      <c r="Z86" s="43"/>
      <c r="AA86" s="43">
        <f t="shared" si="31"/>
        <v>124.977735</v>
      </c>
      <c r="AB86" s="42">
        <f t="shared" si="34"/>
        <v>0.318009503816794</v>
      </c>
      <c r="AC86" s="43">
        <v>179.39312</v>
      </c>
      <c r="AD86" s="43">
        <f t="shared" si="32"/>
        <v>304.370855</v>
      </c>
      <c r="AE86" s="42">
        <f t="shared" si="26"/>
        <v>0.774480547073791</v>
      </c>
      <c r="AF86" s="43"/>
      <c r="AG86" s="43">
        <f t="shared" ref="AG86:AG93" si="35">AD86+AF86</f>
        <v>304.370855</v>
      </c>
      <c r="AH86" s="42">
        <f t="shared" si="27"/>
        <v>0.774480547073791</v>
      </c>
    </row>
    <row r="87" s="4" customFormat="1" ht="180" customHeight="1" spans="1:34">
      <c r="A87" s="19">
        <v>79</v>
      </c>
      <c r="B87" s="24" t="s">
        <v>202</v>
      </c>
      <c r="C87" s="35" t="s">
        <v>203</v>
      </c>
      <c r="D87" s="19">
        <f t="shared" ref="D87:D93" si="36">E87+M87+N87+O87+P87</f>
        <v>374</v>
      </c>
      <c r="E87" s="19">
        <f t="shared" ref="E87:E93" si="37">G87+H87+I87+J87+K87+L87+F87</f>
        <v>374</v>
      </c>
      <c r="F87" s="19"/>
      <c r="G87" s="36">
        <v>0</v>
      </c>
      <c r="H87" s="31">
        <v>374</v>
      </c>
      <c r="I87" s="31"/>
      <c r="J87" s="31"/>
      <c r="K87" s="31"/>
      <c r="L87" s="31"/>
      <c r="M87" s="19"/>
      <c r="N87" s="19"/>
      <c r="O87" s="19"/>
      <c r="P87" s="19"/>
      <c r="Q87" s="19" t="s">
        <v>199</v>
      </c>
      <c r="R87" s="19"/>
      <c r="S87" s="42">
        <f t="shared" si="23"/>
        <v>0</v>
      </c>
      <c r="T87" s="43"/>
      <c r="U87" s="43">
        <f t="shared" si="29"/>
        <v>0</v>
      </c>
      <c r="V87" s="42">
        <f t="shared" si="24"/>
        <v>0</v>
      </c>
      <c r="W87" s="43">
        <v>106.842</v>
      </c>
      <c r="X87" s="43">
        <f t="shared" si="30"/>
        <v>106.842</v>
      </c>
      <c r="Y87" s="42">
        <f t="shared" si="25"/>
        <v>0.285673796791444</v>
      </c>
      <c r="Z87" s="43"/>
      <c r="AA87" s="43">
        <f t="shared" si="31"/>
        <v>106.842</v>
      </c>
      <c r="AB87" s="42">
        <f t="shared" si="34"/>
        <v>0.285673796791444</v>
      </c>
      <c r="AC87" s="43">
        <v>176.251</v>
      </c>
      <c r="AD87" s="43">
        <f t="shared" si="32"/>
        <v>283.093</v>
      </c>
      <c r="AE87" s="42">
        <f t="shared" si="26"/>
        <v>0.756933155080214</v>
      </c>
      <c r="AF87" s="43"/>
      <c r="AG87" s="43">
        <f t="shared" si="35"/>
        <v>283.093</v>
      </c>
      <c r="AH87" s="42">
        <f t="shared" si="27"/>
        <v>0.756933155080214</v>
      </c>
    </row>
    <row r="88" s="4" customFormat="1" ht="301" customHeight="1" spans="1:34">
      <c r="A88" s="19">
        <v>80</v>
      </c>
      <c r="B88" s="26" t="s">
        <v>204</v>
      </c>
      <c r="C88" s="26" t="s">
        <v>198</v>
      </c>
      <c r="D88" s="19">
        <f t="shared" si="36"/>
        <v>367</v>
      </c>
      <c r="E88" s="19">
        <f t="shared" si="37"/>
        <v>367</v>
      </c>
      <c r="F88" s="19"/>
      <c r="G88" s="36"/>
      <c r="H88" s="50">
        <v>367</v>
      </c>
      <c r="I88" s="31"/>
      <c r="J88" s="31"/>
      <c r="K88" s="31"/>
      <c r="L88" s="31"/>
      <c r="M88" s="19"/>
      <c r="N88" s="19"/>
      <c r="O88" s="19"/>
      <c r="P88" s="19"/>
      <c r="Q88" s="50" t="s">
        <v>199</v>
      </c>
      <c r="R88" s="19"/>
      <c r="S88" s="42">
        <f t="shared" si="23"/>
        <v>0</v>
      </c>
      <c r="T88" s="43"/>
      <c r="U88" s="43">
        <f t="shared" si="29"/>
        <v>0</v>
      </c>
      <c r="V88" s="42">
        <f t="shared" si="24"/>
        <v>0</v>
      </c>
      <c r="W88" s="43"/>
      <c r="X88" s="43">
        <f t="shared" si="30"/>
        <v>0</v>
      </c>
      <c r="Y88" s="42">
        <f t="shared" si="25"/>
        <v>0</v>
      </c>
      <c r="Z88" s="43"/>
      <c r="AA88" s="43">
        <f t="shared" si="31"/>
        <v>0</v>
      </c>
      <c r="AB88" s="42">
        <f t="shared" si="34"/>
        <v>0</v>
      </c>
      <c r="AC88" s="43"/>
      <c r="AD88" s="43">
        <f t="shared" si="32"/>
        <v>0</v>
      </c>
      <c r="AE88" s="42">
        <f t="shared" si="26"/>
        <v>0</v>
      </c>
      <c r="AF88" s="43"/>
      <c r="AG88" s="43">
        <f t="shared" si="35"/>
        <v>0</v>
      </c>
      <c r="AH88" s="42">
        <f t="shared" si="27"/>
        <v>0</v>
      </c>
    </row>
    <row r="89" s="6" customFormat="1" ht="230" customHeight="1" spans="1:34">
      <c r="A89" s="19">
        <v>81</v>
      </c>
      <c r="B89" s="26" t="s">
        <v>205</v>
      </c>
      <c r="C89" s="26" t="s">
        <v>198</v>
      </c>
      <c r="D89" s="51">
        <f t="shared" si="36"/>
        <v>511</v>
      </c>
      <c r="E89" s="51">
        <f t="shared" si="37"/>
        <v>511</v>
      </c>
      <c r="F89" s="52"/>
      <c r="G89" s="52"/>
      <c r="H89" s="50">
        <v>511</v>
      </c>
      <c r="I89" s="34"/>
      <c r="J89" s="34"/>
      <c r="K89" s="34"/>
      <c r="L89" s="34"/>
      <c r="M89" s="34"/>
      <c r="N89" s="34"/>
      <c r="O89" s="34"/>
      <c r="P89" s="34"/>
      <c r="Q89" s="50" t="s">
        <v>199</v>
      </c>
      <c r="R89" s="33"/>
      <c r="S89" s="42">
        <f t="shared" si="23"/>
        <v>0</v>
      </c>
      <c r="T89" s="43"/>
      <c r="U89" s="43">
        <f t="shared" si="29"/>
        <v>0</v>
      </c>
      <c r="V89" s="42">
        <f t="shared" si="24"/>
        <v>0</v>
      </c>
      <c r="W89" s="43"/>
      <c r="X89" s="43">
        <f t="shared" si="30"/>
        <v>0</v>
      </c>
      <c r="Y89" s="42">
        <f t="shared" si="25"/>
        <v>0</v>
      </c>
      <c r="Z89" s="43"/>
      <c r="AA89" s="43">
        <f t="shared" si="31"/>
        <v>0</v>
      </c>
      <c r="AB89" s="42">
        <f t="shared" si="34"/>
        <v>0</v>
      </c>
      <c r="AC89" s="43"/>
      <c r="AD89" s="43">
        <f t="shared" si="32"/>
        <v>0</v>
      </c>
      <c r="AE89" s="42">
        <f t="shared" si="26"/>
        <v>0</v>
      </c>
      <c r="AF89" s="43"/>
      <c r="AG89" s="43">
        <f t="shared" si="35"/>
        <v>0</v>
      </c>
      <c r="AH89" s="42">
        <f t="shared" si="27"/>
        <v>0</v>
      </c>
    </row>
    <row r="90" s="6" customFormat="1" ht="172" customHeight="1" spans="1:34">
      <c r="A90" s="19">
        <v>82</v>
      </c>
      <c r="B90" s="26" t="s">
        <v>206</v>
      </c>
      <c r="C90" s="26" t="s">
        <v>207</v>
      </c>
      <c r="D90" s="51">
        <f t="shared" si="36"/>
        <v>309</v>
      </c>
      <c r="E90" s="51">
        <f t="shared" si="37"/>
        <v>309</v>
      </c>
      <c r="F90" s="53">
        <v>148.805833</v>
      </c>
      <c r="G90" s="53">
        <v>160.194167</v>
      </c>
      <c r="H90" s="34"/>
      <c r="I90" s="34"/>
      <c r="J90" s="34"/>
      <c r="K90" s="34"/>
      <c r="L90" s="34"/>
      <c r="M90" s="34"/>
      <c r="N90" s="34"/>
      <c r="O90" s="34"/>
      <c r="P90" s="34"/>
      <c r="Q90" s="50" t="s">
        <v>48</v>
      </c>
      <c r="R90" s="33"/>
      <c r="S90" s="42">
        <f t="shared" si="23"/>
        <v>0</v>
      </c>
      <c r="T90" s="43"/>
      <c r="U90" s="43">
        <f t="shared" si="29"/>
        <v>0</v>
      </c>
      <c r="V90" s="42">
        <f t="shared" si="24"/>
        <v>0</v>
      </c>
      <c r="W90" s="43"/>
      <c r="X90" s="43">
        <f t="shared" si="30"/>
        <v>0</v>
      </c>
      <c r="Y90" s="42">
        <f t="shared" si="25"/>
        <v>0</v>
      </c>
      <c r="Z90" s="43"/>
      <c r="AA90" s="43">
        <f t="shared" si="31"/>
        <v>0</v>
      </c>
      <c r="AB90" s="42">
        <f t="shared" si="34"/>
        <v>0</v>
      </c>
      <c r="AC90" s="43"/>
      <c r="AD90" s="43">
        <f t="shared" si="32"/>
        <v>0</v>
      </c>
      <c r="AE90" s="42">
        <f t="shared" si="26"/>
        <v>0</v>
      </c>
      <c r="AF90" s="43"/>
      <c r="AG90" s="43">
        <f t="shared" si="35"/>
        <v>0</v>
      </c>
      <c r="AH90" s="42">
        <f t="shared" si="27"/>
        <v>0</v>
      </c>
    </row>
    <row r="91" s="6" customFormat="1" ht="172" customHeight="1" spans="1:34">
      <c r="A91" s="19">
        <v>83</v>
      </c>
      <c r="B91" s="26" t="s">
        <v>208</v>
      </c>
      <c r="C91" s="26" t="s">
        <v>209</v>
      </c>
      <c r="D91" s="51">
        <f t="shared" si="36"/>
        <v>343.953147</v>
      </c>
      <c r="E91" s="51">
        <f t="shared" si="37"/>
        <v>343.953147</v>
      </c>
      <c r="F91" s="52">
        <v>343.953147</v>
      </c>
      <c r="G91" s="52"/>
      <c r="H91" s="34"/>
      <c r="I91" s="34"/>
      <c r="J91" s="34"/>
      <c r="K91" s="34"/>
      <c r="L91" s="34"/>
      <c r="M91" s="34"/>
      <c r="N91" s="34"/>
      <c r="O91" s="34"/>
      <c r="P91" s="34"/>
      <c r="Q91" s="50" t="s">
        <v>59</v>
      </c>
      <c r="R91" s="33"/>
      <c r="S91" s="42">
        <f t="shared" si="23"/>
        <v>0</v>
      </c>
      <c r="T91" s="43"/>
      <c r="U91" s="43">
        <f t="shared" si="29"/>
        <v>0</v>
      </c>
      <c r="V91" s="42">
        <f t="shared" si="24"/>
        <v>0</v>
      </c>
      <c r="W91" s="43"/>
      <c r="X91" s="43">
        <f t="shared" si="30"/>
        <v>0</v>
      </c>
      <c r="Y91" s="42">
        <f t="shared" si="25"/>
        <v>0</v>
      </c>
      <c r="Z91" s="43"/>
      <c r="AA91" s="43">
        <f t="shared" si="31"/>
        <v>0</v>
      </c>
      <c r="AB91" s="42">
        <f t="shared" si="34"/>
        <v>0</v>
      </c>
      <c r="AC91" s="43"/>
      <c r="AD91" s="43">
        <f t="shared" si="32"/>
        <v>0</v>
      </c>
      <c r="AE91" s="42">
        <f t="shared" si="26"/>
        <v>0</v>
      </c>
      <c r="AF91" s="43"/>
      <c r="AG91" s="43">
        <f t="shared" si="35"/>
        <v>0</v>
      </c>
      <c r="AH91" s="42">
        <f t="shared" si="27"/>
        <v>0</v>
      </c>
    </row>
    <row r="92" s="6" customFormat="1" ht="172" customHeight="1" spans="1:34">
      <c r="A92" s="19">
        <v>84</v>
      </c>
      <c r="B92" s="26" t="s">
        <v>210</v>
      </c>
      <c r="C92" s="26" t="s">
        <v>211</v>
      </c>
      <c r="D92" s="51">
        <f t="shared" si="36"/>
        <v>389</v>
      </c>
      <c r="E92" s="51">
        <f t="shared" si="37"/>
        <v>389</v>
      </c>
      <c r="F92" s="52">
        <v>389</v>
      </c>
      <c r="G92" s="52"/>
      <c r="H92" s="34"/>
      <c r="I92" s="34"/>
      <c r="J92" s="34"/>
      <c r="K92" s="34"/>
      <c r="L92" s="34"/>
      <c r="M92" s="34"/>
      <c r="N92" s="34"/>
      <c r="O92" s="34"/>
      <c r="P92" s="34"/>
      <c r="Q92" s="50" t="s">
        <v>80</v>
      </c>
      <c r="R92" s="33"/>
      <c r="S92" s="42">
        <f t="shared" si="23"/>
        <v>0</v>
      </c>
      <c r="T92" s="43"/>
      <c r="U92" s="43">
        <f t="shared" si="29"/>
        <v>0</v>
      </c>
      <c r="V92" s="42">
        <f t="shared" si="24"/>
        <v>0</v>
      </c>
      <c r="W92" s="43"/>
      <c r="X92" s="43">
        <f t="shared" si="30"/>
        <v>0</v>
      </c>
      <c r="Y92" s="42">
        <f t="shared" si="25"/>
        <v>0</v>
      </c>
      <c r="Z92" s="43"/>
      <c r="AA92" s="43">
        <f t="shared" si="31"/>
        <v>0</v>
      </c>
      <c r="AB92" s="42">
        <f t="shared" si="34"/>
        <v>0</v>
      </c>
      <c r="AC92" s="43"/>
      <c r="AD92" s="43">
        <f t="shared" si="32"/>
        <v>0</v>
      </c>
      <c r="AE92" s="42">
        <f t="shared" si="26"/>
        <v>0</v>
      </c>
      <c r="AF92" s="43"/>
      <c r="AG92" s="43">
        <f t="shared" si="35"/>
        <v>0</v>
      </c>
      <c r="AH92" s="42">
        <f t="shared" si="27"/>
        <v>0</v>
      </c>
    </row>
    <row r="93" s="6" customFormat="1" ht="172" customHeight="1" spans="1:34">
      <c r="A93" s="19">
        <v>85</v>
      </c>
      <c r="B93" s="26" t="s">
        <v>212</v>
      </c>
      <c r="C93" s="26" t="s">
        <v>213</v>
      </c>
      <c r="D93" s="51">
        <f t="shared" si="36"/>
        <v>197.657628</v>
      </c>
      <c r="E93" s="51">
        <f t="shared" si="37"/>
        <v>197.657628</v>
      </c>
      <c r="F93" s="53">
        <v>197.657628</v>
      </c>
      <c r="G93" s="52"/>
      <c r="H93" s="34"/>
      <c r="I93" s="34"/>
      <c r="J93" s="34"/>
      <c r="K93" s="34"/>
      <c r="L93" s="34"/>
      <c r="M93" s="34"/>
      <c r="N93" s="34"/>
      <c r="O93" s="34"/>
      <c r="P93" s="34"/>
      <c r="Q93" s="50" t="s">
        <v>68</v>
      </c>
      <c r="R93" s="33"/>
      <c r="S93" s="42">
        <f t="shared" si="23"/>
        <v>0</v>
      </c>
      <c r="T93" s="43"/>
      <c r="U93" s="43">
        <f t="shared" si="29"/>
        <v>0</v>
      </c>
      <c r="V93" s="42">
        <f t="shared" si="24"/>
        <v>0</v>
      </c>
      <c r="W93" s="43"/>
      <c r="X93" s="43">
        <f t="shared" si="30"/>
        <v>0</v>
      </c>
      <c r="Y93" s="42">
        <f t="shared" si="25"/>
        <v>0</v>
      </c>
      <c r="Z93" s="43"/>
      <c r="AA93" s="43">
        <f t="shared" si="31"/>
        <v>0</v>
      </c>
      <c r="AB93" s="42">
        <f t="shared" si="34"/>
        <v>0</v>
      </c>
      <c r="AC93" s="43"/>
      <c r="AD93" s="43">
        <f t="shared" si="32"/>
        <v>0</v>
      </c>
      <c r="AE93" s="42">
        <f t="shared" si="26"/>
        <v>0</v>
      </c>
      <c r="AF93" s="43"/>
      <c r="AG93" s="43">
        <f t="shared" si="35"/>
        <v>0</v>
      </c>
      <c r="AH93" s="42">
        <f t="shared" si="27"/>
        <v>0</v>
      </c>
    </row>
    <row r="94" s="6" customFormat="1" ht="80" customHeight="1" spans="1:34">
      <c r="A94" s="19" t="s">
        <v>214</v>
      </c>
      <c r="B94" s="32" t="s">
        <v>215</v>
      </c>
      <c r="C94" s="33"/>
      <c r="D94" s="52">
        <f t="shared" ref="D94:D98" si="38">D95</f>
        <v>261</v>
      </c>
      <c r="E94" s="52">
        <f>E95</f>
        <v>0</v>
      </c>
      <c r="F94" s="52">
        <f>F95</f>
        <v>0</v>
      </c>
      <c r="G94" s="52">
        <f t="shared" ref="G94:P94" si="39">G95</f>
        <v>0</v>
      </c>
      <c r="H94" s="34">
        <f t="shared" si="39"/>
        <v>0</v>
      </c>
      <c r="I94" s="34">
        <f t="shared" si="39"/>
        <v>0</v>
      </c>
      <c r="J94" s="34">
        <f t="shared" si="39"/>
        <v>0</v>
      </c>
      <c r="K94" s="34">
        <f t="shared" si="39"/>
        <v>0</v>
      </c>
      <c r="L94" s="34">
        <f t="shared" si="39"/>
        <v>0</v>
      </c>
      <c r="M94" s="34">
        <f t="shared" si="39"/>
        <v>0</v>
      </c>
      <c r="N94" s="34">
        <f t="shared" si="39"/>
        <v>0</v>
      </c>
      <c r="O94" s="34">
        <f t="shared" si="39"/>
        <v>261</v>
      </c>
      <c r="P94" s="34">
        <f t="shared" si="39"/>
        <v>0</v>
      </c>
      <c r="Q94" s="33"/>
      <c r="R94" s="33">
        <f>R95</f>
        <v>0</v>
      </c>
      <c r="S94" s="42">
        <f t="shared" si="23"/>
        <v>0</v>
      </c>
      <c r="T94" s="43">
        <f>T95</f>
        <v>0</v>
      </c>
      <c r="U94" s="43">
        <f t="shared" ref="U94:AA94" si="40">U95</f>
        <v>0</v>
      </c>
      <c r="V94" s="42">
        <f t="shared" si="24"/>
        <v>0</v>
      </c>
      <c r="W94" s="43">
        <f t="shared" si="40"/>
        <v>0</v>
      </c>
      <c r="X94" s="43">
        <f t="shared" si="40"/>
        <v>0</v>
      </c>
      <c r="Y94" s="42">
        <f t="shared" si="25"/>
        <v>0</v>
      </c>
      <c r="Z94" s="43">
        <f t="shared" si="40"/>
        <v>0</v>
      </c>
      <c r="AA94" s="43">
        <f t="shared" ref="AA94:AG94" si="41">AA95</f>
        <v>0</v>
      </c>
      <c r="AB94" s="42">
        <f t="shared" si="34"/>
        <v>0</v>
      </c>
      <c r="AC94" s="43">
        <f t="shared" si="41"/>
        <v>88.45</v>
      </c>
      <c r="AD94" s="43">
        <f t="shared" si="41"/>
        <v>88.45</v>
      </c>
      <c r="AE94" s="42">
        <f t="shared" si="26"/>
        <v>0.338888888888889</v>
      </c>
      <c r="AF94" s="43">
        <f t="shared" si="41"/>
        <v>21.4</v>
      </c>
      <c r="AG94" s="43">
        <f t="shared" si="41"/>
        <v>109.85</v>
      </c>
      <c r="AH94" s="42">
        <f t="shared" si="27"/>
        <v>0.42088122605364</v>
      </c>
    </row>
    <row r="95" s="4" customFormat="1" ht="162" customHeight="1" spans="1:34">
      <c r="A95" s="19">
        <v>86</v>
      </c>
      <c r="B95" s="35" t="s">
        <v>216</v>
      </c>
      <c r="C95" s="35" t="s">
        <v>149</v>
      </c>
      <c r="D95" s="19">
        <f t="shared" ref="D95:D99" si="42">E95+M95+N95+O95+P95</f>
        <v>261</v>
      </c>
      <c r="E95" s="19">
        <f>G95+H95+I95+J95+K95+L95</f>
        <v>0</v>
      </c>
      <c r="F95" s="19"/>
      <c r="G95" s="36"/>
      <c r="H95" s="31"/>
      <c r="I95" s="31"/>
      <c r="J95" s="31"/>
      <c r="K95" s="31"/>
      <c r="L95" s="31"/>
      <c r="M95" s="19"/>
      <c r="N95" s="19"/>
      <c r="O95" s="19">
        <v>261</v>
      </c>
      <c r="P95" s="19"/>
      <c r="Q95" s="19" t="s">
        <v>217</v>
      </c>
      <c r="R95" s="19"/>
      <c r="S95" s="42">
        <f t="shared" si="23"/>
        <v>0</v>
      </c>
      <c r="T95" s="43"/>
      <c r="U95" s="43">
        <f t="shared" ref="U95:U99" si="43">R95+T95</f>
        <v>0</v>
      </c>
      <c r="V95" s="42">
        <f t="shared" si="24"/>
        <v>0</v>
      </c>
      <c r="W95" s="43"/>
      <c r="X95" s="43">
        <f t="shared" ref="X95:X99" si="44">U95+W95</f>
        <v>0</v>
      </c>
      <c r="Y95" s="42">
        <f t="shared" si="25"/>
        <v>0</v>
      </c>
      <c r="Z95" s="43"/>
      <c r="AA95" s="43">
        <f t="shared" ref="AA95:AA99" si="45">X95+Z95</f>
        <v>0</v>
      </c>
      <c r="AB95" s="42">
        <f t="shared" si="34"/>
        <v>0</v>
      </c>
      <c r="AC95" s="43">
        <f>62.5+25.95</f>
        <v>88.45</v>
      </c>
      <c r="AD95" s="43">
        <f>AA95+AC95</f>
        <v>88.45</v>
      </c>
      <c r="AE95" s="42">
        <f t="shared" si="26"/>
        <v>0.338888888888889</v>
      </c>
      <c r="AF95" s="43">
        <v>21.4</v>
      </c>
      <c r="AG95" s="43">
        <f>AD95+AF95</f>
        <v>109.85</v>
      </c>
      <c r="AH95" s="42">
        <f t="shared" si="27"/>
        <v>0.42088122605364</v>
      </c>
    </row>
    <row r="96" s="6" customFormat="1" ht="80" customHeight="1" spans="1:34">
      <c r="A96" s="19" t="s">
        <v>218</v>
      </c>
      <c r="B96" s="32" t="s">
        <v>219</v>
      </c>
      <c r="C96" s="33"/>
      <c r="D96" s="52">
        <f t="shared" si="38"/>
        <v>52.92</v>
      </c>
      <c r="E96" s="52">
        <f>E97</f>
        <v>52.92</v>
      </c>
      <c r="F96" s="52">
        <f>F97</f>
        <v>0</v>
      </c>
      <c r="G96" s="52">
        <f>G97</f>
        <v>0</v>
      </c>
      <c r="H96" s="34">
        <f t="shared" ref="G96:P96" si="46">H97</f>
        <v>0</v>
      </c>
      <c r="I96" s="34">
        <f t="shared" si="46"/>
        <v>52.92</v>
      </c>
      <c r="J96" s="34">
        <f t="shared" si="46"/>
        <v>0</v>
      </c>
      <c r="K96" s="34">
        <f t="shared" si="46"/>
        <v>0</v>
      </c>
      <c r="L96" s="34">
        <f t="shared" si="46"/>
        <v>0</v>
      </c>
      <c r="M96" s="34">
        <f t="shared" si="46"/>
        <v>0</v>
      </c>
      <c r="N96" s="34">
        <f t="shared" si="46"/>
        <v>0</v>
      </c>
      <c r="O96" s="34">
        <f t="shared" si="46"/>
        <v>0</v>
      </c>
      <c r="P96" s="34">
        <f t="shared" si="46"/>
        <v>0</v>
      </c>
      <c r="Q96" s="33"/>
      <c r="R96" s="33">
        <f>R97</f>
        <v>0</v>
      </c>
      <c r="S96" s="42">
        <f t="shared" ref="S96:S99" si="47">R96/D96</f>
        <v>0</v>
      </c>
      <c r="T96" s="43">
        <f>T97</f>
        <v>0</v>
      </c>
      <c r="U96" s="43">
        <f>U97</f>
        <v>0</v>
      </c>
      <c r="V96" s="42">
        <f t="shared" ref="V96:V99" si="48">U96/D96</f>
        <v>0</v>
      </c>
      <c r="W96" s="43">
        <f t="shared" ref="W96:AA96" si="49">W97</f>
        <v>0</v>
      </c>
      <c r="X96" s="43">
        <f t="shared" si="49"/>
        <v>0</v>
      </c>
      <c r="Y96" s="42">
        <f t="shared" si="25"/>
        <v>0</v>
      </c>
      <c r="Z96" s="43">
        <f t="shared" si="49"/>
        <v>0</v>
      </c>
      <c r="AA96" s="43">
        <f t="shared" si="49"/>
        <v>0</v>
      </c>
      <c r="AB96" s="42">
        <f t="shared" si="34"/>
        <v>0</v>
      </c>
      <c r="AC96" s="43">
        <f t="shared" ref="AC96:AG96" si="50">AC97</f>
        <v>26.46</v>
      </c>
      <c r="AD96" s="43">
        <f t="shared" si="50"/>
        <v>26.46</v>
      </c>
      <c r="AE96" s="42">
        <f t="shared" si="26"/>
        <v>0.5</v>
      </c>
      <c r="AF96" s="43">
        <f t="shared" si="50"/>
        <v>0</v>
      </c>
      <c r="AG96" s="43">
        <f t="shared" si="50"/>
        <v>26.46</v>
      </c>
      <c r="AH96" s="42">
        <f t="shared" si="27"/>
        <v>0.5</v>
      </c>
    </row>
    <row r="97" s="4" customFormat="1" ht="52.3" spans="1:34">
      <c r="A97" s="54">
        <v>87</v>
      </c>
      <c r="B97" s="55" t="s">
        <v>220</v>
      </c>
      <c r="C97" s="55" t="s">
        <v>149</v>
      </c>
      <c r="D97" s="56">
        <f>E97+M97+N97+O97+P97</f>
        <v>52.92</v>
      </c>
      <c r="E97" s="56">
        <f>F97+G97+H97+I97+J97+K97+L97</f>
        <v>52.92</v>
      </c>
      <c r="F97" s="56"/>
      <c r="G97" s="56"/>
      <c r="H97" s="57"/>
      <c r="I97" s="57">
        <f>76-23.08</f>
        <v>52.92</v>
      </c>
      <c r="J97" s="57"/>
      <c r="K97" s="57"/>
      <c r="L97" s="57"/>
      <c r="M97" s="54"/>
      <c r="N97" s="54"/>
      <c r="O97" s="54"/>
      <c r="P97" s="54"/>
      <c r="Q97" s="54" t="s">
        <v>221</v>
      </c>
      <c r="R97" s="54"/>
      <c r="S97" s="58">
        <f t="shared" si="47"/>
        <v>0</v>
      </c>
      <c r="T97" s="59"/>
      <c r="U97" s="59">
        <f t="shared" si="43"/>
        <v>0</v>
      </c>
      <c r="V97" s="58">
        <f t="shared" si="48"/>
        <v>0</v>
      </c>
      <c r="W97" s="59"/>
      <c r="X97" s="59">
        <f t="shared" si="44"/>
        <v>0</v>
      </c>
      <c r="Y97" s="58">
        <f t="shared" si="25"/>
        <v>0</v>
      </c>
      <c r="Z97" s="59"/>
      <c r="AA97" s="59">
        <f t="shared" si="45"/>
        <v>0</v>
      </c>
      <c r="AB97" s="58">
        <f t="shared" si="34"/>
        <v>0</v>
      </c>
      <c r="AC97" s="59">
        <v>26.46</v>
      </c>
      <c r="AD97" s="59">
        <f>AA97+AC97</f>
        <v>26.46</v>
      </c>
      <c r="AE97" s="58">
        <f t="shared" si="26"/>
        <v>0.5</v>
      </c>
      <c r="AF97" s="59"/>
      <c r="AG97" s="59">
        <f>AD97+AF97</f>
        <v>26.46</v>
      </c>
      <c r="AH97" s="58">
        <f t="shared" si="27"/>
        <v>0.5</v>
      </c>
    </row>
    <row r="98" s="6" customFormat="1" ht="105" customHeight="1" spans="1:34">
      <c r="A98" s="19" t="s">
        <v>222</v>
      </c>
      <c r="B98" s="32" t="s">
        <v>223</v>
      </c>
      <c r="C98" s="33"/>
      <c r="D98" s="52">
        <f t="shared" ref="D98:P98" si="51">D99</f>
        <v>70</v>
      </c>
      <c r="E98" s="52">
        <f t="shared" si="51"/>
        <v>70</v>
      </c>
      <c r="F98" s="52">
        <f t="shared" si="51"/>
        <v>70</v>
      </c>
      <c r="G98" s="52">
        <f t="shared" si="51"/>
        <v>0</v>
      </c>
      <c r="H98" s="34">
        <f t="shared" si="51"/>
        <v>0</v>
      </c>
      <c r="I98" s="34">
        <f t="shared" si="51"/>
        <v>0</v>
      </c>
      <c r="J98" s="34">
        <f t="shared" si="51"/>
        <v>0</v>
      </c>
      <c r="K98" s="34">
        <f t="shared" si="51"/>
        <v>0</v>
      </c>
      <c r="L98" s="34">
        <f t="shared" si="51"/>
        <v>0</v>
      </c>
      <c r="M98" s="34">
        <f t="shared" si="51"/>
        <v>0</v>
      </c>
      <c r="N98" s="34">
        <f t="shared" si="51"/>
        <v>0</v>
      </c>
      <c r="O98" s="34">
        <f t="shared" si="51"/>
        <v>0</v>
      </c>
      <c r="P98" s="34">
        <f t="shared" si="51"/>
        <v>0</v>
      </c>
      <c r="Q98" s="33"/>
      <c r="R98" s="33">
        <f>R99</f>
        <v>0</v>
      </c>
      <c r="S98" s="42">
        <f t="shared" si="47"/>
        <v>0</v>
      </c>
      <c r="T98" s="43">
        <f>T99</f>
        <v>0</v>
      </c>
      <c r="U98" s="43">
        <f>U99</f>
        <v>0</v>
      </c>
      <c r="V98" s="42">
        <f t="shared" si="48"/>
        <v>0</v>
      </c>
      <c r="W98" s="43">
        <f>W99</f>
        <v>0</v>
      </c>
      <c r="X98" s="43">
        <f>X99</f>
        <v>0</v>
      </c>
      <c r="Y98" s="42">
        <f t="shared" si="25"/>
        <v>0</v>
      </c>
      <c r="Z98" s="43">
        <f>Z99</f>
        <v>0</v>
      </c>
      <c r="AA98" s="43">
        <f>AA99</f>
        <v>0</v>
      </c>
      <c r="AB98" s="42">
        <f t="shared" si="34"/>
        <v>0</v>
      </c>
      <c r="AC98" s="43">
        <f>AC99</f>
        <v>0</v>
      </c>
      <c r="AD98" s="43">
        <f>AD99</f>
        <v>0</v>
      </c>
      <c r="AE98" s="42">
        <f t="shared" si="26"/>
        <v>0</v>
      </c>
      <c r="AF98" s="43">
        <f>AF99</f>
        <v>0</v>
      </c>
      <c r="AG98" s="43">
        <f>AG99</f>
        <v>0</v>
      </c>
      <c r="AH98" s="42">
        <f t="shared" si="27"/>
        <v>0</v>
      </c>
    </row>
    <row r="99" s="6" customFormat="1" ht="105" customHeight="1" spans="1:34">
      <c r="A99" s="19">
        <v>88</v>
      </c>
      <c r="B99" s="55" t="s">
        <v>224</v>
      </c>
      <c r="C99" s="26" t="s">
        <v>149</v>
      </c>
      <c r="D99" s="52">
        <f t="shared" si="42"/>
        <v>70</v>
      </c>
      <c r="E99" s="52">
        <f>F99+G99+H99+I99+J99+K99+L99</f>
        <v>70</v>
      </c>
      <c r="F99" s="52">
        <v>70</v>
      </c>
      <c r="G99" s="52"/>
      <c r="H99" s="34"/>
      <c r="I99" s="34"/>
      <c r="J99" s="34"/>
      <c r="K99" s="34"/>
      <c r="L99" s="34"/>
      <c r="M99" s="34"/>
      <c r="N99" s="34"/>
      <c r="O99" s="34"/>
      <c r="P99" s="34"/>
      <c r="Q99" s="33" t="s">
        <v>45</v>
      </c>
      <c r="R99" s="33"/>
      <c r="S99" s="42">
        <f t="shared" si="47"/>
        <v>0</v>
      </c>
      <c r="T99" s="43"/>
      <c r="U99" s="43">
        <f>R99+T99</f>
        <v>0</v>
      </c>
      <c r="V99" s="42">
        <f t="shared" si="48"/>
        <v>0</v>
      </c>
      <c r="W99" s="43"/>
      <c r="X99" s="43">
        <f t="shared" si="44"/>
        <v>0</v>
      </c>
      <c r="Y99" s="42">
        <f t="shared" si="25"/>
        <v>0</v>
      </c>
      <c r="Z99" s="43"/>
      <c r="AA99" s="43">
        <f t="shared" si="45"/>
        <v>0</v>
      </c>
      <c r="AB99" s="42">
        <f t="shared" si="34"/>
        <v>0</v>
      </c>
      <c r="AC99" s="43"/>
      <c r="AD99" s="43">
        <f>AA99+AC99</f>
        <v>0</v>
      </c>
      <c r="AE99" s="42">
        <f t="shared" si="26"/>
        <v>0</v>
      </c>
      <c r="AF99" s="43"/>
      <c r="AG99" s="43">
        <f>AD99+AF99</f>
        <v>0</v>
      </c>
      <c r="AH99" s="42">
        <f t="shared" si="27"/>
        <v>0</v>
      </c>
    </row>
    <row r="100" s="7" customFormat="1" customHeight="1" spans="1:34">
      <c r="A100" s="4"/>
      <c r="B100" s="8"/>
      <c r="C100" s="4"/>
      <c r="D100" s="4"/>
      <c r="E100" s="4"/>
      <c r="F100" s="4"/>
      <c r="G100" s="4"/>
      <c r="H100" s="9"/>
      <c r="I100" s="9"/>
      <c r="J100" s="9"/>
      <c r="K100" s="9"/>
      <c r="L100" s="9"/>
      <c r="M100" s="4"/>
      <c r="N100" s="4"/>
      <c r="O100" s="4"/>
      <c r="P100" s="4"/>
      <c r="Q100" s="4"/>
      <c r="R100" s="4"/>
      <c r="S100" s="4"/>
      <c r="T100" s="4"/>
      <c r="U100" s="4"/>
      <c r="V100" s="4"/>
      <c r="W100" s="4"/>
      <c r="X100" s="4"/>
      <c r="Y100" s="4"/>
      <c r="Z100" s="4"/>
      <c r="AA100" s="4"/>
      <c r="AB100" s="60"/>
      <c r="AC100" s="61"/>
      <c r="AD100" s="62"/>
      <c r="AE100" s="62"/>
      <c r="AF100" s="61"/>
      <c r="AG100" s="62"/>
      <c r="AH100" s="62"/>
    </row>
    <row r="101" customHeight="1" spans="28:34">
      <c r="AB101" s="60"/>
      <c r="AC101" s="61"/>
      <c r="AD101" s="62"/>
      <c r="AE101" s="62"/>
      <c r="AF101" s="61"/>
      <c r="AG101" s="62"/>
      <c r="AH101" s="62"/>
    </row>
    <row r="102" customHeight="1" spans="28:34">
      <c r="AB102" s="60"/>
      <c r="AC102" s="61"/>
      <c r="AD102" s="62"/>
      <c r="AE102" s="62"/>
      <c r="AF102" s="61"/>
      <c r="AG102" s="62"/>
      <c r="AH102" s="62"/>
    </row>
    <row r="103" customHeight="1" spans="28:34">
      <c r="AB103" s="60"/>
      <c r="AC103" s="61"/>
      <c r="AD103" s="62"/>
      <c r="AE103" s="62"/>
      <c r="AF103" s="61"/>
      <c r="AG103" s="62"/>
      <c r="AH103" s="62"/>
    </row>
    <row r="104" customHeight="1" spans="28:34">
      <c r="AB104" s="60"/>
      <c r="AC104" s="61"/>
      <c r="AD104" s="62"/>
      <c r="AE104" s="62"/>
      <c r="AF104" s="61"/>
      <c r="AG104" s="62"/>
      <c r="AH104" s="62"/>
    </row>
    <row r="105" customHeight="1" spans="28:34">
      <c r="AB105" s="60"/>
      <c r="AC105" s="61"/>
      <c r="AD105" s="62"/>
      <c r="AE105" s="62"/>
      <c r="AF105" s="61"/>
      <c r="AG105" s="62"/>
      <c r="AH105" s="62"/>
    </row>
    <row r="106" customHeight="1" spans="28:28">
      <c r="AB106" s="63"/>
    </row>
  </sheetData>
  <mergeCells count="30">
    <mergeCell ref="A1:AH1"/>
    <mergeCell ref="D2:P2"/>
    <mergeCell ref="E3:L3"/>
    <mergeCell ref="A5:B5"/>
    <mergeCell ref="A2:A4"/>
    <mergeCell ref="B2:B4"/>
    <mergeCell ref="C2:C4"/>
    <mergeCell ref="D3:D4"/>
    <mergeCell ref="M3:M4"/>
    <mergeCell ref="N3:N4"/>
    <mergeCell ref="O3:O4"/>
    <mergeCell ref="P3:P4"/>
    <mergeCell ref="Q2:Q4"/>
    <mergeCell ref="R2:R4"/>
    <mergeCell ref="S2:S4"/>
    <mergeCell ref="T2:T4"/>
    <mergeCell ref="U2:U4"/>
    <mergeCell ref="V2:V4"/>
    <mergeCell ref="W2:W4"/>
    <mergeCell ref="X2:X4"/>
    <mergeCell ref="Y2:Y4"/>
    <mergeCell ref="Z2:Z4"/>
    <mergeCell ref="AA2:AA4"/>
    <mergeCell ref="AB2:AB4"/>
    <mergeCell ref="AC2:AC4"/>
    <mergeCell ref="AD2:AD4"/>
    <mergeCell ref="AE2:AE4"/>
    <mergeCell ref="AF2:AF4"/>
    <mergeCell ref="AG2:AG4"/>
    <mergeCell ref="AH2:AH4"/>
  </mergeCells>
  <printOptions horizontalCentered="1"/>
  <pageMargins left="0.196527777777778" right="0.156944444444444" top="0.393055555555556" bottom="0.275" header="0.156944444444444" footer="0.236111111111111"/>
  <pageSetup paperSize="9" scale="35" fitToHeight="0" orientation="landscape" horizontalDpi="600"/>
  <headerFooter/>
  <rowBreaks count="1" manualBreakCount="1">
    <brk id="21" max="33" man="1"/>
  </row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kshl</dc:creator>
  <cp:lastModifiedBy>ZFB</cp:lastModifiedBy>
  <dcterms:created xsi:type="dcterms:W3CDTF">2018-04-18T11:18:00Z</dcterms:created>
  <cp:lastPrinted>2019-07-21T12:47:00Z</cp:lastPrinted>
  <dcterms:modified xsi:type="dcterms:W3CDTF">2026-08-20T09:57:29Z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2052-11.8.2.8555</vt:lpwstr>
  </property>
  <property fmtid="{D5CDD505-2E9C-101B-9397-08002B2CF9AE}" pid="3" name="KSOReadingLayout">
    <vt:bool>true</vt:bool>
  </property>
  <property fmtid="{D5CDD505-2E9C-101B-9397-08002B2CF9AE}" pid="4" name="ICV">
    <vt:lpwstr>90C1420A89B450692DC23B6AF4580501</vt:lpwstr>
  </property>
</Properties>
</file>