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10045" tabRatio="781"/>
  </bookViews>
  <sheets>
    <sheet name="11.25" sheetId="15" r:id="rId1"/>
  </sheets>
  <definedNames>
    <definedName name="_xlnm._FilterDatabase" localSheetId="0" hidden="1">'11.25'!$A$5:$O$5</definedName>
    <definedName name="_xlnm.Print_Titles" localSheetId="0">'11.25'!$1:$4</definedName>
    <definedName name="_xlnm.Print_Area" localSheetId="0">'11.25'!$A$1:$O$112</definedName>
  </definedNames>
  <calcPr calcId="144525"/>
</workbook>
</file>

<file path=xl/sharedStrings.xml><?xml version="1.0" encoding="utf-8"?>
<sst xmlns="http://schemas.openxmlformats.org/spreadsheetml/2006/main" count="554" uniqueCount="241">
  <si>
    <t>伽师县2025年巩固拓展脱贫攻坚成果同乡村振兴有效衔接项目计划完成情况表</t>
  </si>
  <si>
    <t>序号</t>
  </si>
  <si>
    <t>项目库
编号</t>
  </si>
  <si>
    <t>项目名称</t>
  </si>
  <si>
    <t>项目类别</t>
  </si>
  <si>
    <t>建设地点及主要内容</t>
  </si>
  <si>
    <t>到位资金
安排
（万元）</t>
  </si>
  <si>
    <t>财政衔接推进乡村振兴补助资金（万元）</t>
  </si>
  <si>
    <t>地区资金</t>
  </si>
  <si>
    <t>县资金</t>
  </si>
  <si>
    <t>截止，2025年2月10日项目完成情况</t>
  </si>
  <si>
    <t>合计</t>
  </si>
  <si>
    <t>中央衔接资金</t>
  </si>
  <si>
    <t>自治区衔接资金</t>
  </si>
  <si>
    <t>小计</t>
  </si>
  <si>
    <t>纯中央</t>
  </si>
  <si>
    <t>少数民族发展</t>
  </si>
  <si>
    <t>以工代赈</t>
  </si>
  <si>
    <t>伽师县</t>
  </si>
  <si>
    <t>伽师县林果追施有机肥补助项目</t>
  </si>
  <si>
    <t>产业发展</t>
  </si>
  <si>
    <t>总投资：6068.65万元
建设内容：为13个乡镇脱贫户、监测户种植的86695亩林果追施有机肥，补助标准700元/亩。</t>
  </si>
  <si>
    <t>已完成</t>
  </si>
  <si>
    <t>伽师县林果病虫害防治项目</t>
  </si>
  <si>
    <t>总投资：1013.7096万元
建设内容：为全县13个乡镇脱贫户、监测户种植的84475.8亩林果进行病虫害防治，补助标准：120元/亩。</t>
  </si>
  <si>
    <t>伽师县甜菜种植补助项目</t>
  </si>
  <si>
    <t>总投资：2308.6545万元
建设内容：对全县12个乡镇脱贫户(含监测户)种植的43934.57亩甜菜进行补助。亩产在4吨以下(不含4吨)补助300元/亩;亩产在4吨区间补助400元/亩;亩产在5-6吨区间补助600元/亩;亩产在7吨及以上补助800元/亩。</t>
  </si>
  <si>
    <t>伽师县伽师瓜种植补助项目</t>
  </si>
  <si>
    <t>总投资：2053.5875万元
建设内容：对全县12个乡镇脱贫户(含监测户)种植的41071.75亩伽师瓜进行补助，待种植完成后，保苗率在70%及以上的农户进行补助，补助标准500元/亩。</t>
  </si>
  <si>
    <t>伽师县2025年拱棚改造提升补助项目</t>
  </si>
  <si>
    <t>总投资：88.93341万元
建设内容：对全县12个乡镇脱贫户、监测户种植的592889.4㎡拱棚进行改造提升补助，1.5元/㎡。</t>
  </si>
  <si>
    <t>伽师县玉代克力克乡就业创业基地建设项目</t>
  </si>
  <si>
    <t>总投资：700万元
建设内容：在玉代克力克乡巴扎（5）村建设集中连片建设乡村振兴就业创业基地约1500平方米及配套相关附属设施。</t>
  </si>
  <si>
    <t>伽师县英买里镇壮大村集体经济建设项目</t>
  </si>
  <si>
    <t>总投资：385万元。
建设内容在英买里镇英买里（10）村建设乡村旅游设施场所1000平方米及配套相关附属设施。</t>
  </si>
  <si>
    <t>伽师县克孜勒苏乡壮大村集体建设项目</t>
  </si>
  <si>
    <t>总投资：300万元。
建设内容：在克孜勒苏乡巴什温塔木（25）村修建保鲜库1000立方米及附属设施。</t>
  </si>
  <si>
    <t>伽师县铁日木乡壮大村集体经济建设项目</t>
  </si>
  <si>
    <t>总投资：300万元。
建设内容：在铁日木乡铁日木（12）村胜利路沿线建设壮大村集体经济就业创业基地1000平方米及附属设施。</t>
  </si>
  <si>
    <t>伽师县巴仁镇琼巴格（4）村壮大村集体经济项目</t>
  </si>
  <si>
    <t>总投资：100万元。
建设内容：在巴仁镇琼巴格（4）村建设农村物流设施500平方米及附属设施。</t>
  </si>
  <si>
    <t>伽师县巴仁镇阿热买里（5）村壮大村集体经济项目</t>
  </si>
  <si>
    <t>总投资：100万元。
建设内容：在巴仁镇阿热买里（5）村建设农村物流设施500平方米及附属设施。</t>
  </si>
  <si>
    <t>伽师县西克尔库勒镇产业发展供水设施建设项目</t>
  </si>
  <si>
    <t>总投资：389万元
建设内容：在西克尔库勒镇12个村新建6座水井，6台100Kva变压器及水泵，6220米高压线缆，7852米DN160PE供水管网及附属配套。</t>
  </si>
  <si>
    <t>伽师县西克尔库勒镇灾后重建经济林带建设项目</t>
  </si>
  <si>
    <t>总投资：397万元
建设内容：在西克尔库勒镇西克尔村平整1805.8亩经济林，开展林床修建、铺设引水管网108.770公里，约2200元/亩。</t>
  </si>
  <si>
    <t>伽师县2025年英买里镇设施农业提升改造项目</t>
  </si>
  <si>
    <t>总投资：250万元
建设内容：对英买里镇阿亚格英买里（11）村90座温室大棚进行改造，包含基质槽建设、防虫网改造、购买基质、棉被、集中水肥灌溉控制系统等。</t>
  </si>
  <si>
    <t>伽师县家禽养殖、屠宰、深加工产业链建设基础设施建设项目</t>
  </si>
  <si>
    <t>总投资：900万元
建设内容：新建成品配电室3座，总建筑面积402.39平方米，安装1600KVA变压器3台，新增场地硬化20000平方米，铺设给水管网1950米、供电管线6250米以及相关配套附属设施等。</t>
  </si>
  <si>
    <t>伽师县克孜勒苏乡2025年小微产业园基础设施提升项目</t>
  </si>
  <si>
    <t>总投资：360万元
建设内容：地面硬化16000平方米，排水管线管径dn315，长度350米，检查井20座。一个变压器350kv及配套附属设施。</t>
  </si>
  <si>
    <t>伽师县卧里托格拉克镇2025年产业发展基础设施配套项目</t>
  </si>
  <si>
    <t>总投资：1100万元
建设内容：在卧里托格拉克镇阿亚格阿克达里亚（24）村防渗渠改造4条及渠系配套建筑物，长度10.53公里，设计流量1.03-0.2m³/s。</t>
  </si>
  <si>
    <t>伽师县克孜勒博依镇2025年产业发展基础设施配套项目</t>
  </si>
  <si>
    <t>总投资：1300万元
建设内容：计划防渗渠改造4条及渠系配套建筑物，长度11.873公里，设计流量0.53-0.3m³/s。</t>
  </si>
  <si>
    <t>伽师县米夏乡2025年产业发展基础设施配套项目</t>
  </si>
  <si>
    <t>总投资：1350万元
建设内容：计划防渗渠改造3条及渠系配套建筑物，长度11.363公里，设计流量0.9-0.2m³/s。</t>
  </si>
  <si>
    <t>伽师县夏普吐勒镇2025年产业发展基础设施配套项目</t>
  </si>
  <si>
    <t>总投资：1900万元
建设内容：在夏普吐勒镇库木墩（22）村计划防渗渠改造3条及渠系配套建筑物，长度16.352公里，设计流量1.25-0.6m³/s。</t>
  </si>
  <si>
    <t>伽师县和夏阿瓦提镇2025年产业发展基础设施配套项目</t>
  </si>
  <si>
    <t>总投资：764万元
建设内容：计划防渗渠改造3条及渠系配套建筑物，长度8.171公里，设计流量1.0-0.6m³/s。</t>
  </si>
  <si>
    <t>伽师县克孜勒苏乡2025年产业发展基础设施配套项目</t>
  </si>
  <si>
    <t>总投资：748万元
建设内容：计划防渗渠改造2条及渠系配套建筑物，长度6.253公里，设计流量0.95-0.5m³/s。</t>
  </si>
  <si>
    <t>伽师县古勒鲁克乡2025年产业发展基础设施配套项目</t>
  </si>
  <si>
    <t>总投资：1090万元
建设内容：在古勒鲁克乡英巴格（5）村计划防渗渠改造1条及渠系配套建筑物，长度9.024公里，设计流量0.95-0.65m³/s。</t>
  </si>
  <si>
    <t>伽师县玉代克力克乡2025年产业发展基础设施配套项目</t>
  </si>
  <si>
    <t>总投资：1180万元
建设内容：在玉代克力克乡依提帕克（9）村计划防渗渠改造4条及渠系配套建筑物，长度10.515公里，1.65-0.1m³/s。</t>
  </si>
  <si>
    <t>伽师县西克尔库勒镇2025年产业发展基础设施配套项目</t>
  </si>
  <si>
    <t>总投资：2720万元
建设内容：计划防渗渠改造4条及渠系配套建筑物，长度24.284公里，设计流量1.6-0.3m³/s。</t>
  </si>
  <si>
    <t>伽师县西克尔库勒镇金瓜村2025年产业发展基础设施配套项目</t>
  </si>
  <si>
    <t>总投资：1141万元
建设内容：在西克尔库勒镇金瓜村计划防渗渠改造1条及渠系配套建筑物，长度8.958公里，设计流量0.78-0.28m³/s。</t>
  </si>
  <si>
    <t>伽师县西克尔库勒镇达西村产业发展基础设施配套项目</t>
  </si>
  <si>
    <t>总投资：1955万元
建设内容：在西克尔库勒镇达西村计划防渗渠改造1条及渠系配套建筑物，长度11.7公里，设计流量1.5-0.42m³/s。</t>
  </si>
  <si>
    <t>伽师县英买里镇产业发展基础设施配套项目</t>
  </si>
  <si>
    <t>总投资：2030万元
建设内容：在英买里镇英阿瓦提村计划防渗渠改造1条及渠系配套建筑物，长度10.986公里，设计流量1.45m³/s。</t>
  </si>
  <si>
    <t>伽师县卧里托格拉克镇强孜村产业发展基础设施配套项目</t>
  </si>
  <si>
    <t>总投资：1095万元
建设内容：在卧里托格拉克镇强孜村计划防渗渠改造1条及渠系配套建筑物，长度8.415公里，设计流量0.97—0.35m³/s。</t>
  </si>
  <si>
    <t>伽师县古勒鲁克乡塔让其村产业发展基础设施配套项目</t>
  </si>
  <si>
    <t>总投资：460万元
建设内容：在古勒鲁克乡塔然其村计划防渗渠改造2条及渠系配套建筑物，长度3.409公里，设计流量0.97-0.35m³/s。</t>
  </si>
  <si>
    <t>伽师县英买里镇库木艾日克（1）村2025年村级产业配套项目</t>
  </si>
  <si>
    <t>总投资：344万元
建设内容：在英买里镇库木艾日克（1）村防渗渠改造1条，配套渠系建筑物，长度4.3公里，设计流量0.5-0.2m³/S，计划投资344万元。</t>
  </si>
  <si>
    <t>伽师县英买里镇巴什兰干（13）村2025年村级产业配套项目</t>
  </si>
  <si>
    <t>总投资：388万元
建设内容：在英买里镇巴什兰干（13）村防渗渠改造1条，配套渠系建筑物，长度5公里，设计流量0.5-0.2m³/S，计划投资388万元。</t>
  </si>
  <si>
    <t>伽师县江巴孜乡2025年村级产业配套项目</t>
  </si>
  <si>
    <t>总投资：1450万元
建设内容：防渗改造4个村19条渠道及渠系配套建筑物，长度16.286公里，流量0.44-0.1m³/S，计划投资1450万元。</t>
  </si>
  <si>
    <t>伽师县江巴孜乡2025年产业配套项目</t>
  </si>
  <si>
    <t>总投资：1312万元
建设内容：江巴孜乡4个村防渗渠改造24条及渠系配套建筑物，长度15.319公里，流量0.5-0.2m³/s。</t>
  </si>
  <si>
    <t>伽师县江巴孜乡萨热依塔木（5）村产业配套项目</t>
  </si>
  <si>
    <t>总投资：388万元
建设内容：在江巴孜乡萨热依塔木（5）村防渗渠改造7条，配套渠系建筑物，长度5.01公里，流量0.5-0.3m³/S。</t>
  </si>
  <si>
    <t>伽师县卧里托格拉克镇龙口（16）村产业配套项目</t>
  </si>
  <si>
    <t>总投资：388万元
建设内容：在卧里托格拉克镇龙口（16）村建设防渗渠道4.1公里，配套渠系建筑物68座，设计流量0.7-0.3m³/S。</t>
  </si>
  <si>
    <t>伽师县克孜勒博依镇木努尔（25）村、铁热克博斯坦（28）村产业配套项目</t>
  </si>
  <si>
    <t>总投资：388万元
建设内容：防渗渠改造2条，配套渠系建筑物，长度4公里，流量0.48-0.1m³/s。其中：克孜勒博依镇木努尔（25）村2.5公里、克孜勒博依镇铁热克博斯坦（28）村1.5公里。</t>
  </si>
  <si>
    <t>伽师县克孜勒博依镇2025年特色产业配套项目</t>
  </si>
  <si>
    <t>总投资：1500万元（资金来源：中央财政少数民族发展资金）
建设内容：防渗渠改造5条及渠系配套建筑物，长度12.634公里，流量0.7-0.3m³/s，计划投资1500万元。</t>
  </si>
  <si>
    <t>伽师县米夏乡2025年吐格巴斯特（16）村产业配套项目</t>
  </si>
  <si>
    <t>总投资：389万元
建设内容：米夏乡吐格巴斯特（16）村支渠防渗长度4.1km及渠系建筑物，设计流量0.2-0.17m³/s。</t>
  </si>
  <si>
    <t>伽师县夏普吐勒镇阿热夏普吐勒（7）村产业配套项目</t>
  </si>
  <si>
    <t>总投资：386万元
建设内容：在夏普吐勒镇阿热夏普吐勒（7）村防渗渠改造7条，配套渠系建筑物，长度4.02公里，设计流量0.5～0.2m³/s。</t>
  </si>
  <si>
    <t>伽师县和夏阿瓦提镇喀热萨（25）村产业配套项目</t>
  </si>
  <si>
    <t>总投资：388万元
建设内容：在和夏阿瓦提镇喀热萨（25）村改造防渗渠3,666公里及渠系配套建筑物，设计流量0.22-0.14m³/s。</t>
  </si>
  <si>
    <t>伽师县克孜勒苏乡巴什奥塔格（39）村产业配套项目</t>
  </si>
  <si>
    <t>总投资：386万元
建设内容：在克孜勒苏乡巴什奥塔格（39）村防渗渠改造1条，配套渠系建筑物，长度3.41公里，设计流量0.5～0.15m³/s。</t>
  </si>
  <si>
    <t>伽师县古勒鲁克乡巴什阿恰勒（16）村产业配套项目</t>
  </si>
  <si>
    <t>总投资：389万元
建设内容：在古勒鲁克乡巴什阿恰勒（16）村防渗渠改造5条，配套渠系建筑物，长度3.702公里，设计流量0.6～0.3m³/s。</t>
  </si>
  <si>
    <t>伽师县玉代克力克乡2025年村级产业配套项目</t>
  </si>
  <si>
    <t>总投资：1543万元
建设内容：防渗渠改造6条及渠系配套建筑物，长度15.43公里，设计流量0.5-0.1m³/s。</t>
  </si>
  <si>
    <t>伽师县玉代克力克乡乔拉克（10）村产业配套项目</t>
  </si>
  <si>
    <t>总投资：388万元
建设内容：在玉代克力克乡乔拉克（10）村防渗渠改造1条，配套渠系建筑物，长度4.12公里，设计流量0.5-0.3m³/s.</t>
  </si>
  <si>
    <t>伽师县巴仁镇2025年村级产业配套项目</t>
  </si>
  <si>
    <t>总投资：386万元
建设内容：防渗渠改造8条，配套渠系建筑物，长度4.76公里，设计流量0.6～0.2m³/s。</t>
  </si>
  <si>
    <t>伽师县西克尔库勒镇博斯坦（6）村产业配套项目</t>
  </si>
  <si>
    <t>总投资：388万元
建设内容：在西克尔库勒镇博斯坦（6）村防渗渠改造1条，配套渠系建筑物，长度3.402公里，设计流量0.3m³/S。</t>
  </si>
  <si>
    <t>伽师县西克尔库勒镇西克尔（29）村产业配套项目</t>
  </si>
  <si>
    <t>总投资：385万元
建设内容：在西克尔库勒镇西克尔（29）村防渗渠改造1条，配套渠系建筑物，长度4.009公里，设计流量0.25m³/S。</t>
  </si>
  <si>
    <t>伽师县小额贷款贴息项目</t>
  </si>
  <si>
    <t>总投资：2000万元
建设内容：对全县小额信贷17500户脱贫户、监测户进行贴息。</t>
  </si>
  <si>
    <t>伽师县公益性岗位补助项目</t>
  </si>
  <si>
    <t>就业项目</t>
  </si>
  <si>
    <t>总投资：3780万元
建设内容：在伽师县13个乡镇310个村安置公益性岗位（脱贫户及监测户）1800名，补助标准：1750元/人/月。</t>
  </si>
  <si>
    <t>伽师县2025年农村道路管护人员补助项目</t>
  </si>
  <si>
    <t>总投资：1504.8万元
建设内容：13个乡镇1254名护路员公益性岗位进行工资补助，每人每月1000元。</t>
  </si>
  <si>
    <t>伽师县脱贫劳动力（含监测户）一次性交通补助项目</t>
  </si>
  <si>
    <t>总投资：1700万元
建设内容：对伽师县当年疆内（外）就业时间不少于3个月的12000名脱贫劳动力（含监测户）进行交通补助。补助标准：疆内跨地州1000元/人/年，疆外2000元/人/年。</t>
  </si>
  <si>
    <t>伽师县脱贫群众自主创业补助项目</t>
  </si>
  <si>
    <t>总投资：315.6万元
建设内容：为全县13个乡镇脱贫户（含监测户）自主创业进行补助。要求生产或经营面积超过20平方米（含）以上，正常经营6个月的，提供营业执照等印证资料，验收确认后每户补助2000元；生产或经营面积不足20平方米（包括餐车、零售点等移动式摊位），正常经营3个月的，由村委会进行确认无误的，每户补助1000元。</t>
  </si>
  <si>
    <t>伽师县2025年西克尔库勒镇农村村组道路建设项目</t>
  </si>
  <si>
    <t>乡村建设行动</t>
  </si>
  <si>
    <t>总投资：2800万元
建设内容：西克尔库勒镇4个村28.21公里。</t>
  </si>
  <si>
    <t>伽师县2025年英买里镇、西克尔库勒镇产业路建设项目</t>
  </si>
  <si>
    <t>总投资：2800万元
建设内容：共修建产业路33.41公里。</t>
  </si>
  <si>
    <t>伽师县2025年西克尔库勒镇、铁日木乡产业路建设项目</t>
  </si>
  <si>
    <t>总投资：377万元
建设内容：共修建产业路3.77公里。其中：西克尔库勒镇西克尔村3.11公里；铁日木乡阿亚格铁日木（5）村0.66公里。</t>
  </si>
  <si>
    <t>伽师县西克尔库勒镇库木库坦（1）村农村道路建设项目</t>
  </si>
  <si>
    <t>总投资：399万元
建设内容：西克尔库勒镇库木库坦（1）村新建农村道路3.3公里及相关附属配套等。</t>
  </si>
  <si>
    <t>伽师县古勒鲁克乡乡村道路2025年中央财政以工代赈项目</t>
  </si>
  <si>
    <t>总投资：379万元
建设内容：新建村组道路6.5公里及相关附属配套等。</t>
  </si>
  <si>
    <t>伽师县玉代克力克乡农村道路2025年中央财政以工代赈项目</t>
  </si>
  <si>
    <t>总投资：385万元
建设内容：硬化入户路29000平方米及其附属设施等。</t>
  </si>
  <si>
    <t>伽师县米夏乡农村道路2025年中央财政以工代赈项目</t>
  </si>
  <si>
    <t>总投资：370万元
建设内容：硬化入户路29000平方米及其附属设施等。</t>
  </si>
  <si>
    <t>伽师县克孜勒博依镇农村道路2025年中央财政以工代赈项目</t>
  </si>
  <si>
    <t>总投资：376万元
建设内容：硬化入户路31300平方米及其附属设施等。</t>
  </si>
  <si>
    <t>伽师县江巴孜乡农村道路2025年中央财政以工代赈项目</t>
  </si>
  <si>
    <t>总投资：350万元
建设内容：硬化入户路28000平方米及相关附属配套等，投资350万元。</t>
  </si>
  <si>
    <t>伽师县英买里镇2025年入户路建设项目</t>
  </si>
  <si>
    <t>总投资：387万元
建设内容：英买里镇6个村硬化32250平方米入户路及配套附属，每平方米补助120元。</t>
  </si>
  <si>
    <t>伽师县米夏乡2025年入户路建设项目</t>
  </si>
  <si>
    <t>总投资：387万元
建设内容：米夏乡8个村硬化32250平方米入户路及配套附属，每平方米补助120元。</t>
  </si>
  <si>
    <t>伽师县夏普吐勒镇2025年入户路建设项目</t>
  </si>
  <si>
    <t>总投资：315万元
建设内容：夏普吐勒镇7个村硬化26250平方米入户路及配套附属，每平方米补助120元。</t>
  </si>
  <si>
    <t>伽师县克孜勒苏乡2025年入户路建设项目</t>
  </si>
  <si>
    <t>总投资：384万元
建设内容：克孜勒苏乡14个村硬化32000平方米入户路及配套附属，每平方米补助120元。</t>
  </si>
  <si>
    <t>伽师县玉代克力克乡2025年入户路建设项目</t>
  </si>
  <si>
    <t>总投资：384万元
建设内容：为玉代克力克乡12个村硬化32000平方米入户路及配套附属，每平方米补助120元。</t>
  </si>
  <si>
    <t>伽师县铁日木乡2025年入户路建设项目</t>
  </si>
  <si>
    <t>总投资：387万元
建设内容：铁日木乡12个村硬化32250平方米入户路及配套附属，每平方米补助120元。</t>
  </si>
  <si>
    <t>伽师县西克尔库勒镇2025年入户路建设项目</t>
  </si>
  <si>
    <t>总投资：342万元
建设内容：西克尔库勒镇28个村硬化28500平方米入户路及配套附属，每平方米补助120元。</t>
  </si>
  <si>
    <t>伽师县英买里镇2025年农村污水处理项目</t>
  </si>
  <si>
    <t>总投资：252万元
建设内容：对英买里镇英买里（10）村居住区进行污水处理改造，接入市政排水管网：铺设污水管网4.7公里并配套附属设施。</t>
  </si>
  <si>
    <t>伽师县江巴孜乡2025年农村污水处理项目</t>
  </si>
  <si>
    <t>总投资：700万元
建设内容：新建排水管网DN400主干管8.9公里，入户管DN110支管6公里，成品预制装配式混凝土检查井470座，提升泵站及配套设备11座，路面恢复3200平方米等。</t>
  </si>
  <si>
    <t>伽师县江巴孜乡2025年垃圾处理建设项目</t>
  </si>
  <si>
    <t>总投资：800万元
建设内容：在江巴孜乡江巴孜（1）村新建地上1层框架结构生活垃圾处理设备用房597.9平方米、附属用房100平方米及配套设施；采购日处理量5吨生活垃圾处理设备1套、垃圾清扫车1辆、洒水车1辆及相关配套服务设备。</t>
  </si>
  <si>
    <t>伽师县卧里托格拉克镇2025年垃圾处理建设项目</t>
  </si>
  <si>
    <t>总投资：800万元
建设内容：在卧里托格拉克镇巴扎（28）村新建生活垃圾处理设备用房1094.9平方米及附属配套。采购日处理量5吨生活垃圾处理设备1套、8吨垃圾清运车2辆及其相关配套设备。</t>
  </si>
  <si>
    <t>伽师县克孜勒博依镇2025年垃圾处理建设项目</t>
  </si>
  <si>
    <t>总投资：800万元
建设内容：在克孜勒博依镇铁热克博斯坦（28）村采购日处理5吨生活垃圾处理设备1套及其相关配套设备，包含设备运输、安装、调试。建设设备用房、业务用房等配套设施。</t>
  </si>
  <si>
    <t>伽师县和夏阿瓦提镇2025年垃圾处理建设项目</t>
  </si>
  <si>
    <t>总投资：800万元
建设内容：在和夏阿瓦提镇墩吕克（17）村采购日处理5吨生活垃圾处理设备1套、2个垃圾转运车及其相关配套设备，包含设备运输、安装、调试。新建地上1层框架结构建筑面积为597.80平方米设备用房、业务用房1栋及配套设施。</t>
  </si>
  <si>
    <t>伽师县西克尔库勒镇灾后易地重建西克尔村道路及配套附属工程建设项目</t>
  </si>
  <si>
    <t>总投资：计划4000万元，其中：援疆资金3490万元、衔接资金510万元（衔接资金仅支持给排水、灌溉等附属配套设施）。
建设内容：新建道路2130米及给排水、灌溉等附属配套设施。</t>
  </si>
  <si>
    <t>伽师县2025年“雨露计划”职业教育补助项目</t>
  </si>
  <si>
    <t>巩固三保障成果</t>
  </si>
  <si>
    <t>总投资：3000万元
建设内容：对疆内外在册就读中高等职业教育伽师籍脱贫户、监测户学生家庭进行补助。补助人数10000人，每人补助3000元。</t>
  </si>
  <si>
    <t>伽师县2025年项目服务费</t>
  </si>
  <si>
    <t>项目管理费</t>
  </si>
  <si>
    <t>总投资：290万元
建设内容：用于项目前期设计、评审、招标、监理以及验收等与项目管理相关支出。</t>
  </si>
  <si>
    <t>伽师县“健康饮茶”“送茶入户”项目</t>
  </si>
  <si>
    <t>其他</t>
  </si>
  <si>
    <t>总投资：46万元
建设内容：为伽师县监测帮扶对象发放低氟边销茶，按照每户2公斤进行发放。</t>
  </si>
  <si>
    <t>伽师县铁日木乡温室大棚改造提升补助项目</t>
  </si>
  <si>
    <t>总投资：217万元
建设内容：对铁日木乡仓（8）村217座温室大棚进行改造提升补助，10000元/座。</t>
  </si>
  <si>
    <t>伽师县家禽养殖场电力提升改造项目</t>
  </si>
  <si>
    <t>总投资：389万元
建设内容：新建配电室2座、总建筑面积260.36 ㎡，安装变压器 2 台，新增10KV输电线路6.50千米，以及配套电线杆断路器等相关附属设施</t>
  </si>
  <si>
    <t>伽师县克孜勒博依镇英艾日克（8）村、巴格艾日克（9）村产业配套项目</t>
  </si>
  <si>
    <t>总投资：350万元
建设内容：为保障克孜勒博依镇用水安全减少水资源浪费，完善2个村水渠及配套建筑物，每公里投资110万元，流量0.5-0.2，长度分别为英艾日克（8）村2.4公里、巴格艾日克（9）村0.99公里，共计3.39公里。</t>
  </si>
  <si>
    <t>伽师县克孜勒苏乡拜什塔木（26）村2025 年产业配套项目</t>
  </si>
  <si>
    <t>总投资：350 万元，
伽师县克孜勒苏乡拜什塔木（26）村新建防渗渠道 1 条，总长 2.869km，需配套建筑物 37 座，其中节制分水闸 10 座，分水闸 22 座，农桥 3 座，连接段 1 座，测流桥 1 座。</t>
  </si>
  <si>
    <t>伽师县食品加工厂房改造提升项目</t>
  </si>
  <si>
    <t>总投资：350万元
建设内容：在工业园区冷链物流基地改造一个标准化厂房1869平方米，用于加工牛肉番茄酱。项目包括处理车间、制酱车间、罐装车间及水电气等基础设施改造。</t>
  </si>
  <si>
    <t>伽师县新梅深加工附属配套项目</t>
  </si>
  <si>
    <t>总投资：350万元
建设内容：对居仁镇喀热喀什（26）村新梅加工厂开展附属配套</t>
  </si>
  <si>
    <t>伽师县夏普吐勒镇托什坎拉（17）村2025年新梅晾晒房建设项目</t>
  </si>
  <si>
    <t>总投资：380万元
建设内容：在夏普吐勒镇托什坎拉（17）村新建新梅晾晒房1837.78平方米及配套附属设施。</t>
  </si>
  <si>
    <t>伽师县居仁镇布鲁胡其（16）村2025年村级产业配套项目</t>
  </si>
  <si>
    <t>总投资：376万元
建设内容：居仁镇布鲁胡其（16）村防渗渠改造1条，配套渠系建筑物，长度4.75公里，设计流量0.2～0.5m³/s，</t>
  </si>
  <si>
    <t>伽师县玉代克力克乡英买里（11）村产业配套项目</t>
  </si>
  <si>
    <t>总投资：389万
建设内容：为玉代克力克乡英买里（11）村新建防渗渠道4.3公里及配套附属设施，设计流量：0.5-0.3m³/s。</t>
  </si>
  <si>
    <t>伽师县卧里托格拉克镇防渗渠2025年中央财政以工代赈项目</t>
  </si>
  <si>
    <t>总投资：305万元
建设内容：新建防渗渠3.8公里及其相关附属设施等。设计流量0.2-0.15m3/s。其中：喀热尤勒滚（25）村2.34公里、托盖欧勒迪（26）村1.46公里。</t>
  </si>
  <si>
    <t>伽师县和夏阿瓦提镇其日克（18）村产业配套项目</t>
  </si>
  <si>
    <t>总投资：229万元
建设内容：在和夏阿瓦提镇其日克（18）村改造防渗渠道，配套渠系建筑物，长度2.197公里，设计流量0.22m³/s。</t>
  </si>
  <si>
    <t>伽师县英买里镇2025年美丽宜居村产业路建设项目</t>
  </si>
  <si>
    <t xml:space="preserve">总投资385万元
建设内容：新建产业路3.85公里及配套附属
</t>
  </si>
  <si>
    <t>伽师县英买里镇2025年美丽宜居村入户路硬化项目</t>
  </si>
  <si>
    <t>总投资339万元
建设内容：硬化入户路28207平方米及配套附属</t>
  </si>
  <si>
    <t>伽师县英买里镇2025年美丽宜居村产业配套建设项目</t>
  </si>
  <si>
    <t>总投资298万元
建设内容：防渗渠改造4条，配套渠系建筑物，长度3.42公里，设计流量1～0.2m³/s</t>
  </si>
  <si>
    <t>伽师县英买里镇2025年美丽宜居村经济林带种植项目</t>
  </si>
  <si>
    <t>总投资120万元
建设内容：道路两旁开展经济林带建设，采购经济苗木23000株</t>
  </si>
  <si>
    <t>伽师县米夏乡2025年美丽宜居村建设项目</t>
  </si>
  <si>
    <t xml:space="preserve">总投资：衔接资金1440万元
建设内容：
衔接资金用于：新建防渗渠道6.444公里、设计流量0.16-0.1m³/s，村组道路5.9公里，道路加宽20327平方米；购置垃圾转运车3辆、垃圾分类仓5套、垃圾桶330个等相关配套附属设施。
</t>
  </si>
  <si>
    <t>伽师县卧里托格拉克镇2025年入户路建设项目</t>
  </si>
  <si>
    <t>总投资：387万元
建设内容：卧里托格拉克镇3个村硬化32250平方米入户路及配套附属，每平方米补助120元。其中：英巴格（6）村5700平方米、乌堂（20）村7500平方米、龙口（16）村19050平方米。</t>
  </si>
  <si>
    <t>伽师县和夏阿瓦提镇2025年入户路建设项目</t>
  </si>
  <si>
    <t>总投资：387万元
建设内容：入户路建设并配套附属，共计28254平方米。为和夏阿瓦提镇6个村硬化28254平方米的入户路，其中:英艾日克（7）村4514平方米、托玛贝希（16）村4945平方米、墩吕克（17）村1450平方米、喀热萨（25）村6281平方米、亚格其阿依万（31）村3305平方米、幸福（33）村7759平方米</t>
  </si>
  <si>
    <t>伽师县古勒鲁克乡2025年入户路建设项目</t>
  </si>
  <si>
    <t>总投资：387万元
建设内容：古勒鲁克乡9个村硬化32250平方米入户路及配套附属，每平方米补助120元。其中：阿克提坎（8）村5600平方米、巴什阿勒克库勒（9）村5500平方米、拜什塔木（12）村4000平方米、阿亚格科克塔勒（15）村2700平方米、巴什阿恰勒（16）村3330平方米、堂力其（18）村4000平方米、科克塔勒（19）村3600平方米、苏巴斯提（21）村1820平方米、欧吐拉拜什塔木（24）村1700平方米。</t>
  </si>
  <si>
    <t>伽师县克孜勒苏乡2025年入户路建设项目（二期）</t>
  </si>
  <si>
    <t>总投资：384万元
建设内容：克孜勒苏乡10个村硬化32000平方米入户路及附属配套设施，其中：巴什温塔木（25）村2000平方米、其兰巴格（32）村2000平方米、英巴格（33）村3000平方米、吾斯塘博依（34）村3000平方米、阿克墩（35）村4000平方米、托库勒（36）村4000平方米、阿亚格奥依塔格（37）村4000平方米、吾依塔格（38）村4000平方米、巴什奥塔格（39）村3000平方米、托格拉克勒克（40）村3000平方米。</t>
  </si>
  <si>
    <t>伽师县克孜勒博依镇2025年农村村组道路建设项目</t>
  </si>
  <si>
    <t>总投资：384万元
建设内容：共修建村组道路31000平方米，其中，古力巴格（22）村13500平方米、色满（23）村10700平方米、恰瓦拉（27）村3600平方米、科克通鲁克（34）村3200平方米。</t>
  </si>
  <si>
    <t>伽师县2025年铁日木乡村组道路建设项目</t>
  </si>
  <si>
    <t xml:space="preserve">投资：450万元
建设内容：在铁日木乡2个村农村村组道路3.74公里，其中：铁日木阿亚格铁日木（5）村2.63公里，仓（8）村1.1公里。                                                                                                                    </t>
  </si>
  <si>
    <t>伽师县西克尔库勒镇灾后易地重建基础设施建设项目</t>
  </si>
  <si>
    <t>总投资：900万元
建设内容：新建基础设施 2637.8平方米，地上二层，框架结构;并配套建设室外给排水，供电，供暖以及道路硬化等附属设施。</t>
  </si>
  <si>
    <t>伽师县英买里镇克皮乃克（6）村2025年入户路建设项目</t>
  </si>
  <si>
    <t>总投资：384万元。
建设内容：
在英买里镇克皮乃克（6）村硬化32000平方米入户路及配套附属，每平方米补助120元。</t>
  </si>
  <si>
    <t xml:space="preserve">伽师县西克尔库勒镇乡村道路2025年中央财政以工代赈项目 </t>
  </si>
  <si>
    <t>总投资：318万元
建设内容：对西克尔库勒镇库木科勒（5）村、博斯坦（6）村、比纳木（7）村、和谐（8）村、莫玛墩（9）村硬化道路24000平方米及其附属设施。</t>
  </si>
  <si>
    <t>伽师县易地扶贫地方政府债券贴息补助项目</t>
  </si>
  <si>
    <t>易地搬迁后扶</t>
  </si>
  <si>
    <t>总投资：70万元
建设内容：对自治区易地扶贫搬迁融资模式调整规范后的地方政府债券贴息。</t>
  </si>
  <si>
    <t>伽师县和夏阿瓦提镇夏勒克（15）村产业配套项目</t>
  </si>
  <si>
    <t>总投资：170万元
建设内容：在和夏阿瓦提镇夏勒克（15）村改造防渗渠道，配套渠系建筑物，长度1.471公里，设计流量0.3m³/s。</t>
  </si>
  <si>
    <t>伽师县克孜勒博依镇易地搬迁安置点后续提升改造项目</t>
  </si>
  <si>
    <t>总投资：119.58万元
建设内容：提升改造易地搬迁点活动中心和文化广场及配套附属设施，铺设管网4公里，新建村组道路6000平方米。</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</si>
</sst>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0">
    <font>
      <sz val="11"/>
      <color theme="1"/>
      <name val="宋体"/>
      <charset val="134"/>
      <scheme val="minor"/>
    </font>
    <font>
      <sz val="12"/>
      <color theme="1"/>
      <name val="方正黑体简体"/>
      <charset val="134"/>
    </font>
    <font>
      <sz val="12"/>
      <color theme="1"/>
      <name val="宋体"/>
      <charset val="134"/>
      <scheme val="minor"/>
    </font>
    <font>
      <sz val="10"/>
      <color theme="1"/>
      <name val="宋体"/>
      <charset val="134"/>
      <scheme val="minor"/>
    </font>
    <font>
      <sz val="28"/>
      <name val="方正小标宋简体"/>
      <charset val="134"/>
    </font>
    <font>
      <sz val="12"/>
      <name val="方正黑体简体"/>
      <charset val="134"/>
    </font>
    <font>
      <b/>
      <sz val="12"/>
      <name val="宋体"/>
      <charset val="134"/>
      <scheme val="minor"/>
    </font>
    <font>
      <sz val="12"/>
      <name val="宋体"/>
      <charset val="134"/>
      <scheme val="minor"/>
    </font>
    <font>
      <i/>
      <sz val="11"/>
      <color rgb="FF7F7F7F"/>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b/>
      <sz val="11"/>
      <color theme="3"/>
      <name val="宋体"/>
      <charset val="134"/>
      <scheme val="minor"/>
    </font>
    <font>
      <sz val="11"/>
      <color rgb="FF3F3F76"/>
      <name val="宋体"/>
      <charset val="134"/>
      <scheme val="minor"/>
    </font>
    <font>
      <sz val="12"/>
      <name val="宋体"/>
      <charset val="134"/>
    </font>
    <font>
      <u/>
      <sz val="11"/>
      <color rgb="FF800080"/>
      <name val="宋体"/>
      <charset val="134"/>
      <scheme val="minor"/>
    </font>
    <font>
      <u/>
      <sz val="11"/>
      <color rgb="FF0000FF"/>
      <name val="宋体"/>
      <charset val="134"/>
      <scheme val="minor"/>
    </font>
    <font>
      <b/>
      <sz val="11"/>
      <color rgb="FFFFFFFF"/>
      <name val="宋体"/>
      <charset val="134"/>
      <scheme val="minor"/>
    </font>
    <font>
      <b/>
      <sz val="18"/>
      <color theme="3"/>
      <name val="宋体"/>
      <charset val="134"/>
      <scheme val="minor"/>
    </font>
    <font>
      <sz val="11"/>
      <color rgb="FFFF0000"/>
      <name val="宋体"/>
      <charset val="134"/>
      <scheme val="minor"/>
    </font>
    <font>
      <b/>
      <sz val="11"/>
      <color indexed="8"/>
      <name val="宋体"/>
      <charset val="134"/>
    </font>
    <font>
      <b/>
      <sz val="11"/>
      <color theme="1"/>
      <name val="宋体"/>
      <charset val="134"/>
      <scheme val="minor"/>
    </font>
    <font>
      <b/>
      <sz val="13"/>
      <color theme="3"/>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sz val="11"/>
      <color rgb="FF9C6500"/>
      <name val="宋体"/>
      <charset val="134"/>
      <scheme val="minor"/>
    </font>
    <font>
      <b/>
      <sz val="11"/>
      <color rgb="FFFA7D00"/>
      <name val="宋体"/>
      <charset val="134"/>
      <scheme val="minor"/>
    </font>
    <font>
      <sz val="11"/>
      <color indexed="8"/>
      <name val="宋体"/>
      <charset val="134"/>
    </font>
    <font>
      <sz val="11"/>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theme="4" tint="0.799951170384838"/>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799951170384838"/>
        <bgColor indexed="64"/>
      </patternFill>
    </fill>
    <fill>
      <patternFill patternType="solid">
        <fgColor theme="4" tint="0.399945066682943"/>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51170384838"/>
        <bgColor indexed="64"/>
      </patternFill>
    </fill>
    <fill>
      <patternFill patternType="solid">
        <fgColor theme="7"/>
        <bgColor indexed="64"/>
      </patternFill>
    </fill>
    <fill>
      <patternFill patternType="solid">
        <fgColor theme="6" tint="0.399945066682943"/>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5" tint="0.399945066682943"/>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9" tint="0.399945066682943"/>
        <bgColor indexed="64"/>
      </patternFill>
    </fill>
    <fill>
      <patternFill patternType="solid">
        <fgColor theme="8"/>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indexed="49"/>
      </top>
      <bottom style="double">
        <color indexed="49"/>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13"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13" applyNumberFormat="0" applyFont="0" applyAlignment="0" applyProtection="0">
      <alignment vertical="center"/>
    </xf>
    <xf numFmtId="0" fontId="9" fillId="20"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lignment vertical="top"/>
      <protection locked="0"/>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7" applyNumberFormat="0" applyFill="0" applyAlignment="0" applyProtection="0">
      <alignment vertical="center"/>
    </xf>
    <xf numFmtId="0" fontId="22" fillId="0" borderId="17" applyNumberFormat="0" applyFill="0" applyAlignment="0" applyProtection="0">
      <alignment vertical="center"/>
    </xf>
    <xf numFmtId="0" fontId="9" fillId="9" borderId="0" applyNumberFormat="0" applyBorder="0" applyAlignment="0" applyProtection="0">
      <alignment vertical="center"/>
    </xf>
    <xf numFmtId="0" fontId="12" fillId="0" borderId="12" applyNumberFormat="0" applyFill="0" applyAlignment="0" applyProtection="0">
      <alignment vertical="center"/>
    </xf>
    <xf numFmtId="0" fontId="9" fillId="23" borderId="0" applyNumberFormat="0" applyBorder="0" applyAlignment="0" applyProtection="0">
      <alignment vertical="center"/>
    </xf>
    <xf numFmtId="0" fontId="25" fillId="25" borderId="19" applyNumberFormat="0" applyAlignment="0" applyProtection="0">
      <alignment vertical="center"/>
    </xf>
    <xf numFmtId="0" fontId="27" fillId="25" borderId="11" applyNumberFormat="0" applyAlignment="0" applyProtection="0">
      <alignment vertical="center"/>
    </xf>
    <xf numFmtId="0" fontId="17" fillId="19" borderId="14" applyNumberFormat="0" applyAlignment="0" applyProtection="0">
      <alignment vertical="center"/>
    </xf>
    <xf numFmtId="0" fontId="0" fillId="29" borderId="0" applyNumberFormat="0" applyBorder="0" applyAlignment="0" applyProtection="0">
      <alignment vertical="center"/>
    </xf>
    <xf numFmtId="0" fontId="9" fillId="4" borderId="0" applyNumberFormat="0" applyBorder="0" applyAlignment="0" applyProtection="0">
      <alignment vertical="center"/>
    </xf>
    <xf numFmtId="0" fontId="24" fillId="0" borderId="18" applyNumberFormat="0" applyFill="0" applyAlignment="0" applyProtection="0">
      <alignment vertical="center"/>
    </xf>
    <xf numFmtId="0" fontId="21" fillId="0" borderId="16" applyNumberFormat="0" applyFill="0" applyAlignment="0" applyProtection="0">
      <alignment vertical="center"/>
    </xf>
    <xf numFmtId="0" fontId="11" fillId="6" borderId="0" applyNumberFormat="0" applyBorder="0" applyAlignment="0" applyProtection="0">
      <alignment vertical="center"/>
    </xf>
    <xf numFmtId="0" fontId="14" fillId="0" borderId="0">
      <protection locked="0"/>
    </xf>
    <xf numFmtId="0" fontId="26" fillId="27" borderId="0" applyNumberFormat="0" applyBorder="0" applyAlignment="0" applyProtection="0">
      <alignment vertical="center"/>
    </xf>
    <xf numFmtId="0" fontId="0" fillId="28" borderId="0" applyNumberFormat="0" applyBorder="0" applyAlignment="0" applyProtection="0">
      <alignment vertical="center"/>
    </xf>
    <xf numFmtId="0" fontId="9" fillId="26"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9" fillId="33" borderId="0" applyNumberFormat="0" applyBorder="0" applyAlignment="0" applyProtection="0">
      <alignment vertical="center"/>
    </xf>
    <xf numFmtId="0" fontId="0" fillId="21"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0" fillId="30" borderId="0" applyNumberFormat="0" applyBorder="0" applyAlignment="0" applyProtection="0">
      <alignment vertical="center"/>
    </xf>
    <xf numFmtId="0" fontId="9" fillId="32" borderId="0" applyNumberFormat="0" applyBorder="0" applyAlignment="0" applyProtection="0">
      <alignment vertical="center"/>
    </xf>
    <xf numFmtId="0" fontId="14" fillId="0" borderId="0">
      <alignment vertical="center"/>
    </xf>
    <xf numFmtId="0" fontId="28" fillId="0" borderId="0">
      <alignment vertical="center"/>
    </xf>
    <xf numFmtId="0" fontId="14" fillId="0" borderId="0"/>
    <xf numFmtId="0" fontId="14" fillId="0" borderId="0">
      <alignment vertical="top"/>
    </xf>
    <xf numFmtId="0" fontId="29" fillId="0" borderId="0">
      <alignment vertical="center"/>
    </xf>
  </cellStyleXfs>
  <cellXfs count="54">
    <xf numFmtId="0" fontId="0" fillId="0" borderId="0" xfId="0">
      <alignment vertical="center"/>
    </xf>
    <xf numFmtId="0" fontId="0"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center" vertical="center" wrapText="1"/>
    </xf>
    <xf numFmtId="0" fontId="2" fillId="0" borderId="0" xfId="0" applyFont="1">
      <alignment vertical="center"/>
    </xf>
    <xf numFmtId="0" fontId="3" fillId="0" borderId="0" xfId="0" applyNumberFormat="1" applyFont="1" applyFill="1" applyAlignment="1" applyProtection="1">
      <alignment horizontal="center" vertical="center" wrapText="1"/>
    </xf>
    <xf numFmtId="0" fontId="3" fillId="0" borderId="0" xfId="0" applyNumberFormat="1" applyFont="1" applyFill="1" applyAlignment="1" applyProtection="1">
      <alignment horizontal="left" vertical="center" wrapText="1"/>
    </xf>
    <xf numFmtId="0" fontId="4" fillId="0" borderId="0" xfId="0" applyNumberFormat="1" applyFont="1" applyFill="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6" fillId="2" borderId="7" xfId="0" applyNumberFormat="1" applyFont="1" applyFill="1" applyBorder="1" applyAlignment="1" applyProtection="1">
      <alignment horizontal="center" vertical="center"/>
    </xf>
    <xf numFmtId="0" fontId="7" fillId="2" borderId="7" xfId="0" applyNumberFormat="1" applyFont="1" applyFill="1" applyBorder="1" applyAlignment="1" applyProtection="1">
      <alignment horizontal="left" vertical="center"/>
    </xf>
    <xf numFmtId="176" fontId="6" fillId="2" borderId="7"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vertical="center" wrapText="1"/>
    </xf>
    <xf numFmtId="176" fontId="7"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7" fillId="0" borderId="7" xfId="52" applyFont="1" applyFill="1" applyBorder="1" applyAlignment="1">
      <alignment horizontal="left" vertical="center" wrapText="1"/>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vertical="center" wrapText="1"/>
      <protection locked="0"/>
    </xf>
    <xf numFmtId="0" fontId="7" fillId="0" borderId="7"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7" xfId="11"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6" fillId="2" borderId="7" xfId="0" applyNumberFormat="1" applyFont="1" applyFill="1" applyBorder="1" applyAlignment="1" applyProtection="1">
      <alignment horizontal="center" vertical="center"/>
      <protection locked="0"/>
    </xf>
    <xf numFmtId="176" fontId="2" fillId="0" borderId="7" xfId="0" applyNumberFormat="1" applyFont="1" applyFill="1" applyBorder="1" applyAlignment="1">
      <alignment horizontal="center" vertical="center" wrapText="1"/>
    </xf>
    <xf numFmtId="176" fontId="2" fillId="0" borderId="7" xfId="0" applyNumberFormat="1" applyFont="1" applyFill="1" applyBorder="1" applyAlignment="1" applyProtection="1">
      <alignment horizontal="center" vertical="center" wrapText="1"/>
    </xf>
    <xf numFmtId="177" fontId="2" fillId="0" borderId="7" xfId="0" applyNumberFormat="1" applyFont="1" applyFill="1" applyBorder="1" applyAlignment="1">
      <alignment horizontal="center" vertical="center" wrapText="1"/>
    </xf>
    <xf numFmtId="176" fontId="7" fillId="0" borderId="7" xfId="0" applyNumberFormat="1" applyFont="1" applyFill="1" applyBorder="1" applyAlignment="1" applyProtection="1">
      <alignment horizontal="center" vertical="center" wrapText="1"/>
      <protection locked="0"/>
    </xf>
    <xf numFmtId="176" fontId="7" fillId="0" borderId="7"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left" vertical="center" wrapText="1"/>
    </xf>
    <xf numFmtId="0" fontId="0" fillId="0" borderId="7"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汇总 18 2 2 2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0 10" xfId="52"/>
    <cellStyle name="常规_Sheet1_11_4" xfId="53"/>
    <cellStyle name="常规 14" xfId="54"/>
    <cellStyle name="常规 105" xfId="55"/>
    <cellStyle name="常规 28" xfId="56"/>
  </cellStyles>
  <tableStyles count="0" defaultTableStyle="TableStyleMedium2" defaultPivotStyle="PivotStyleLight16"/>
  <colors>
    <mruColors>
      <color rgb="00FFFFFF"/>
      <color rgb="00D9D9D9"/>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2"/>
  <sheetViews>
    <sheetView tabSelected="1" view="pageBreakPreview" zoomScale="70" zoomScaleNormal="70" zoomScaleSheetLayoutView="70" workbookViewId="0">
      <pane xSplit="3" ySplit="5" topLeftCell="D108" activePane="bottomRight" state="frozen"/>
      <selection/>
      <selection pane="topRight"/>
      <selection pane="bottomLeft"/>
      <selection pane="bottomRight" activeCell="A1" sqref="A1:O112"/>
    </sheetView>
  </sheetViews>
  <sheetFormatPr defaultColWidth="9" defaultRowHeight="14.1"/>
  <cols>
    <col min="1" max="1" width="4.88288288288288" style="1" customWidth="1"/>
    <col min="2" max="2" width="7.78378378378378" style="1" customWidth="1"/>
    <col min="3" max="3" width="36.4324324324324" style="6" customWidth="1"/>
    <col min="4" max="4" width="18.3873873873874" style="6" customWidth="1"/>
    <col min="5" max="5" width="82.2072072072072" style="7" customWidth="1"/>
    <col min="6" max="9" width="13" style="6" customWidth="1"/>
    <col min="10" max="10" width="11.6306306306306" style="6" customWidth="1"/>
    <col min="11" max="11" width="11.6666666666667" style="6" customWidth="1"/>
    <col min="12" max="12" width="13" style="6" customWidth="1"/>
    <col min="13" max="13" width="11.7837837837838" style="6" customWidth="1"/>
    <col min="14" max="14" width="10.2162162162162" style="6" customWidth="1"/>
    <col min="15" max="15" width="29.2882882882883" style="1" customWidth="1"/>
    <col min="16" max="16343" width="9" style="1"/>
  </cols>
  <sheetData>
    <row r="1" s="1" customFormat="1" ht="40.5" customHeight="1" spans="1:15">
      <c r="A1" s="8" t="s">
        <v>0</v>
      </c>
      <c r="B1" s="8"/>
      <c r="C1" s="8"/>
      <c r="D1" s="8"/>
      <c r="E1" s="8"/>
      <c r="F1" s="8"/>
      <c r="G1" s="8"/>
      <c r="H1" s="8"/>
      <c r="I1" s="8"/>
      <c r="J1" s="8"/>
      <c r="K1" s="8"/>
      <c r="L1" s="8"/>
      <c r="M1" s="8"/>
      <c r="N1" s="8"/>
      <c r="O1" s="8"/>
    </row>
    <row r="2" s="2" customFormat="1" ht="51" customHeight="1" spans="1:15">
      <c r="A2" s="9" t="s">
        <v>1</v>
      </c>
      <c r="B2" s="9" t="s">
        <v>2</v>
      </c>
      <c r="C2" s="9" t="s">
        <v>3</v>
      </c>
      <c r="D2" s="9" t="s">
        <v>4</v>
      </c>
      <c r="E2" s="9" t="s">
        <v>5</v>
      </c>
      <c r="F2" s="9" t="s">
        <v>6</v>
      </c>
      <c r="G2" s="10" t="s">
        <v>7</v>
      </c>
      <c r="H2" s="11"/>
      <c r="I2" s="11"/>
      <c r="J2" s="11"/>
      <c r="K2" s="11"/>
      <c r="L2" s="39"/>
      <c r="M2" s="40" t="s">
        <v>8</v>
      </c>
      <c r="N2" s="40" t="s">
        <v>9</v>
      </c>
      <c r="O2" s="9" t="s">
        <v>10</v>
      </c>
    </row>
    <row r="3" s="2" customFormat="1" ht="25" customHeight="1" spans="1:15">
      <c r="A3" s="12"/>
      <c r="B3" s="12"/>
      <c r="C3" s="12"/>
      <c r="D3" s="12"/>
      <c r="E3" s="12"/>
      <c r="F3" s="12"/>
      <c r="G3" s="13" t="s">
        <v>11</v>
      </c>
      <c r="H3" s="14" t="s">
        <v>12</v>
      </c>
      <c r="I3" s="41"/>
      <c r="J3" s="41"/>
      <c r="K3" s="42"/>
      <c r="L3" s="13" t="s">
        <v>13</v>
      </c>
      <c r="M3" s="13"/>
      <c r="N3" s="13"/>
      <c r="O3" s="12"/>
    </row>
    <row r="4" s="2" customFormat="1" ht="37" customHeight="1" spans="1:15">
      <c r="A4" s="12"/>
      <c r="B4" s="12"/>
      <c r="C4" s="12"/>
      <c r="D4" s="12"/>
      <c r="E4" s="12"/>
      <c r="F4" s="15"/>
      <c r="G4" s="16"/>
      <c r="H4" s="17" t="s">
        <v>14</v>
      </c>
      <c r="I4" s="17" t="s">
        <v>15</v>
      </c>
      <c r="J4" s="17" t="s">
        <v>16</v>
      </c>
      <c r="K4" s="17" t="s">
        <v>17</v>
      </c>
      <c r="L4" s="16"/>
      <c r="M4" s="16"/>
      <c r="N4" s="16"/>
      <c r="O4" s="12"/>
    </row>
    <row r="5" s="3" customFormat="1" ht="54" customHeight="1" spans="1:15">
      <c r="A5" s="18" t="s">
        <v>18</v>
      </c>
      <c r="B5" s="18"/>
      <c r="C5" s="18"/>
      <c r="D5" s="18">
        <v>107</v>
      </c>
      <c r="E5" s="19"/>
      <c r="F5" s="20">
        <f t="shared" ref="F5:N5" si="0">SUM(F6:F112)</f>
        <v>74458</v>
      </c>
      <c r="G5" s="20">
        <f t="shared" si="0"/>
        <v>74131</v>
      </c>
      <c r="H5" s="20">
        <f t="shared" si="0"/>
        <v>58384</v>
      </c>
      <c r="I5" s="20">
        <f t="shared" si="0"/>
        <v>54248</v>
      </c>
      <c r="J5" s="20">
        <f t="shared" si="0"/>
        <v>1653</v>
      </c>
      <c r="K5" s="20">
        <f t="shared" si="0"/>
        <v>2483</v>
      </c>
      <c r="L5" s="20">
        <f t="shared" si="0"/>
        <v>15747</v>
      </c>
      <c r="M5" s="20">
        <f t="shared" si="0"/>
        <v>67</v>
      </c>
      <c r="N5" s="20">
        <f t="shared" si="0"/>
        <v>260</v>
      </c>
      <c r="O5" s="43"/>
    </row>
    <row r="6" s="2" customFormat="1" ht="50" customHeight="1" spans="1:15">
      <c r="A6" s="21">
        <v>1</v>
      </c>
      <c r="B6" s="21" t="s">
        <v>18</v>
      </c>
      <c r="C6" s="22" t="s">
        <v>19</v>
      </c>
      <c r="D6" s="21" t="s">
        <v>20</v>
      </c>
      <c r="E6" s="23" t="s">
        <v>21</v>
      </c>
      <c r="F6" s="24">
        <f>G6+M6+N6</f>
        <v>5953.5086</v>
      </c>
      <c r="G6" s="24">
        <f>H6+L6</f>
        <v>5953.5086</v>
      </c>
      <c r="H6" s="24">
        <f>I6+J6+K6</f>
        <v>5953.5086</v>
      </c>
      <c r="I6" s="24">
        <f>6068.65-13.3525-81.7789-20.01</f>
        <v>5953.5086</v>
      </c>
      <c r="J6" s="21"/>
      <c r="K6" s="21"/>
      <c r="L6" s="21"/>
      <c r="M6" s="21"/>
      <c r="N6" s="21"/>
      <c r="O6" s="21" t="s">
        <v>22</v>
      </c>
    </row>
    <row r="7" s="2" customFormat="1" ht="50" customHeight="1" spans="1:15">
      <c r="A7" s="21">
        <v>2</v>
      </c>
      <c r="B7" s="21" t="s">
        <v>18</v>
      </c>
      <c r="C7" s="22" t="s">
        <v>23</v>
      </c>
      <c r="D7" s="21" t="s">
        <v>20</v>
      </c>
      <c r="E7" s="23" t="s">
        <v>24</v>
      </c>
      <c r="F7" s="24">
        <f t="shared" ref="F7:F38" si="1">G7+M7+N7</f>
        <v>742.7315</v>
      </c>
      <c r="G7" s="24">
        <f t="shared" ref="G7:G38" si="2">H7+L7</f>
        <v>742.7315</v>
      </c>
      <c r="H7" s="24">
        <f t="shared" ref="H7:H38" si="3">I7+J7+K7</f>
        <v>742.7315</v>
      </c>
      <c r="I7" s="24">
        <f>1013.7096-270.9781</f>
        <v>742.7315</v>
      </c>
      <c r="J7" s="21"/>
      <c r="K7" s="21"/>
      <c r="L7" s="21"/>
      <c r="M7" s="21"/>
      <c r="N7" s="21"/>
      <c r="O7" s="21" t="s">
        <v>22</v>
      </c>
    </row>
    <row r="8" s="2" customFormat="1" ht="66" customHeight="1" spans="1:15">
      <c r="A8" s="21">
        <v>3</v>
      </c>
      <c r="B8" s="21" t="s">
        <v>18</v>
      </c>
      <c r="C8" s="22" t="s">
        <v>25</v>
      </c>
      <c r="D8" s="21" t="s">
        <v>20</v>
      </c>
      <c r="E8" s="23" t="s">
        <v>26</v>
      </c>
      <c r="F8" s="24">
        <f t="shared" si="1"/>
        <v>2304.25448972</v>
      </c>
      <c r="G8" s="24">
        <f t="shared" si="2"/>
        <v>2304.25448972</v>
      </c>
      <c r="H8" s="24">
        <f t="shared" si="3"/>
        <v>1834.92279072</v>
      </c>
      <c r="I8" s="24">
        <f>742.62+550.1574+26.58120672+276.670883-100+282.140315</f>
        <v>1778.16980472</v>
      </c>
      <c r="J8" s="24">
        <v>56.752986</v>
      </c>
      <c r="K8" s="21"/>
      <c r="L8" s="24">
        <f>473.731699-4.4</f>
        <v>469.331699</v>
      </c>
      <c r="M8" s="21"/>
      <c r="N8" s="21"/>
      <c r="O8" s="21" t="s">
        <v>22</v>
      </c>
    </row>
    <row r="9" s="2" customFormat="1" ht="60" customHeight="1" spans="1:15">
      <c r="A9" s="21">
        <v>4</v>
      </c>
      <c r="B9" s="21" t="s">
        <v>18</v>
      </c>
      <c r="C9" s="22" t="s">
        <v>27</v>
      </c>
      <c r="D9" s="21" t="s">
        <v>20</v>
      </c>
      <c r="E9" s="23" t="s">
        <v>28</v>
      </c>
      <c r="F9" s="24">
        <f t="shared" si="1"/>
        <v>2052.5525</v>
      </c>
      <c r="G9" s="24">
        <f t="shared" si="2"/>
        <v>2052.5525</v>
      </c>
      <c r="H9" s="24">
        <f t="shared" si="3"/>
        <v>2052.5525</v>
      </c>
      <c r="I9" s="24">
        <f>1575.26+473.9475+4.38-1.035</f>
        <v>2052.5525</v>
      </c>
      <c r="J9" s="21"/>
      <c r="K9" s="21"/>
      <c r="L9" s="21"/>
      <c r="M9" s="21"/>
      <c r="N9" s="21"/>
      <c r="O9" s="21" t="s">
        <v>22</v>
      </c>
    </row>
    <row r="10" s="2" customFormat="1" ht="60" customHeight="1" spans="1:15">
      <c r="A10" s="21">
        <v>5</v>
      </c>
      <c r="B10" s="21" t="s">
        <v>18</v>
      </c>
      <c r="C10" s="22" t="s">
        <v>29</v>
      </c>
      <c r="D10" s="21" t="s">
        <v>20</v>
      </c>
      <c r="E10" s="23" t="s">
        <v>30</v>
      </c>
      <c r="F10" s="24">
        <f t="shared" si="1"/>
        <v>86.820122</v>
      </c>
      <c r="G10" s="24">
        <f t="shared" si="2"/>
        <v>86.820122</v>
      </c>
      <c r="H10" s="24">
        <f t="shared" si="3"/>
        <v>86.820122</v>
      </c>
      <c r="I10" s="24">
        <f>88.93341-0.1209-0.308713-1.683675</f>
        <v>86.820122</v>
      </c>
      <c r="J10" s="21"/>
      <c r="K10" s="21"/>
      <c r="L10" s="21"/>
      <c r="M10" s="21"/>
      <c r="N10" s="21"/>
      <c r="O10" s="21" t="s">
        <v>22</v>
      </c>
    </row>
    <row r="11" s="2" customFormat="1" ht="60" customHeight="1" spans="1:15">
      <c r="A11" s="21">
        <v>6</v>
      </c>
      <c r="B11" s="21" t="s">
        <v>18</v>
      </c>
      <c r="C11" s="22" t="s">
        <v>31</v>
      </c>
      <c r="D11" s="21" t="s">
        <v>20</v>
      </c>
      <c r="E11" s="23" t="s">
        <v>32</v>
      </c>
      <c r="F11" s="24">
        <f t="shared" si="1"/>
        <v>578.1</v>
      </c>
      <c r="G11" s="24">
        <f t="shared" si="2"/>
        <v>578.1</v>
      </c>
      <c r="H11" s="24">
        <f t="shared" si="3"/>
        <v>578.1</v>
      </c>
      <c r="I11" s="44">
        <f>610-31.9</f>
        <v>578.1</v>
      </c>
      <c r="J11" s="44"/>
      <c r="K11" s="44"/>
      <c r="L11" s="44"/>
      <c r="M11" s="21"/>
      <c r="N11" s="21"/>
      <c r="O11" s="21" t="s">
        <v>22</v>
      </c>
    </row>
    <row r="12" s="2" customFormat="1" ht="60" customHeight="1" spans="1:15">
      <c r="A12" s="21">
        <v>7</v>
      </c>
      <c r="B12" s="21" t="s">
        <v>18</v>
      </c>
      <c r="C12" s="22" t="s">
        <v>33</v>
      </c>
      <c r="D12" s="21" t="s">
        <v>20</v>
      </c>
      <c r="E12" s="22" t="s">
        <v>34</v>
      </c>
      <c r="F12" s="24">
        <f t="shared" si="1"/>
        <v>372.540379</v>
      </c>
      <c r="G12" s="24">
        <f t="shared" si="2"/>
        <v>372.540379</v>
      </c>
      <c r="H12" s="24">
        <f t="shared" si="3"/>
        <v>372.540379</v>
      </c>
      <c r="I12" s="24">
        <f>385-8.83-3.629621</f>
        <v>372.540379</v>
      </c>
      <c r="J12" s="24"/>
      <c r="K12" s="21"/>
      <c r="L12" s="21"/>
      <c r="M12" s="21"/>
      <c r="N12" s="21"/>
      <c r="O12" s="21" t="s">
        <v>22</v>
      </c>
    </row>
    <row r="13" s="2" customFormat="1" ht="60" customHeight="1" spans="1:15">
      <c r="A13" s="21">
        <v>8</v>
      </c>
      <c r="B13" s="21" t="s">
        <v>18</v>
      </c>
      <c r="C13" s="25" t="s">
        <v>35</v>
      </c>
      <c r="D13" s="21" t="s">
        <v>20</v>
      </c>
      <c r="E13" s="22" t="s">
        <v>36</v>
      </c>
      <c r="F13" s="24">
        <f t="shared" si="1"/>
        <v>269.63966</v>
      </c>
      <c r="G13" s="24">
        <f t="shared" si="2"/>
        <v>269.63966</v>
      </c>
      <c r="H13" s="24">
        <f t="shared" si="3"/>
        <v>269.63966</v>
      </c>
      <c r="I13" s="24">
        <f>300-26-4.36034</f>
        <v>269.63966</v>
      </c>
      <c r="J13" s="21"/>
      <c r="K13" s="21"/>
      <c r="L13" s="21"/>
      <c r="M13" s="21"/>
      <c r="N13" s="21"/>
      <c r="O13" s="21" t="s">
        <v>22</v>
      </c>
    </row>
    <row r="14" s="4" customFormat="1" ht="60" customHeight="1" spans="1:15">
      <c r="A14" s="21">
        <v>9</v>
      </c>
      <c r="B14" s="21" t="s">
        <v>18</v>
      </c>
      <c r="C14" s="25" t="s">
        <v>37</v>
      </c>
      <c r="D14" s="26" t="s">
        <v>20</v>
      </c>
      <c r="E14" s="25" t="s">
        <v>38</v>
      </c>
      <c r="F14" s="24">
        <f t="shared" si="1"/>
        <v>253.679253</v>
      </c>
      <c r="G14" s="24">
        <f t="shared" si="2"/>
        <v>253.679253</v>
      </c>
      <c r="H14" s="24">
        <f t="shared" si="3"/>
        <v>253.679253</v>
      </c>
      <c r="I14" s="45">
        <f>300-46.320747</f>
        <v>253.679253</v>
      </c>
      <c r="J14" s="26"/>
      <c r="K14" s="26"/>
      <c r="L14" s="26"/>
      <c r="M14" s="26"/>
      <c r="N14" s="26"/>
      <c r="O14" s="21" t="s">
        <v>22</v>
      </c>
    </row>
    <row r="15" s="2" customFormat="1" ht="60" customHeight="1" spans="1:15">
      <c r="A15" s="21">
        <v>10</v>
      </c>
      <c r="B15" s="21" t="s">
        <v>18</v>
      </c>
      <c r="C15" s="22" t="s">
        <v>39</v>
      </c>
      <c r="D15" s="21" t="s">
        <v>20</v>
      </c>
      <c r="E15" s="23" t="s">
        <v>40</v>
      </c>
      <c r="F15" s="24">
        <f t="shared" si="1"/>
        <v>85.671598</v>
      </c>
      <c r="G15" s="24">
        <f t="shared" si="2"/>
        <v>85.671598</v>
      </c>
      <c r="H15" s="24">
        <f t="shared" si="3"/>
        <v>85.671598</v>
      </c>
      <c r="I15" s="24">
        <f>100-4.168583-10.159819</f>
        <v>85.671598</v>
      </c>
      <c r="J15" s="21"/>
      <c r="K15" s="21"/>
      <c r="L15" s="21"/>
      <c r="M15" s="21"/>
      <c r="N15" s="21"/>
      <c r="O15" s="21" t="s">
        <v>22</v>
      </c>
    </row>
    <row r="16" s="2" customFormat="1" ht="60" customHeight="1" spans="1:15">
      <c r="A16" s="21">
        <v>11</v>
      </c>
      <c r="B16" s="21" t="s">
        <v>18</v>
      </c>
      <c r="C16" s="22" t="s">
        <v>41</v>
      </c>
      <c r="D16" s="21" t="s">
        <v>20</v>
      </c>
      <c r="E16" s="27" t="s">
        <v>42</v>
      </c>
      <c r="F16" s="24">
        <f t="shared" si="1"/>
        <v>92.047894</v>
      </c>
      <c r="G16" s="24">
        <f t="shared" si="2"/>
        <v>92.047894</v>
      </c>
      <c r="H16" s="24">
        <f t="shared" si="3"/>
        <v>92.047894</v>
      </c>
      <c r="I16" s="24">
        <f>100-1.866474-6.085632</f>
        <v>92.047894</v>
      </c>
      <c r="J16" s="21"/>
      <c r="K16" s="21"/>
      <c r="L16" s="21"/>
      <c r="M16" s="21"/>
      <c r="N16" s="21"/>
      <c r="O16" s="21" t="s">
        <v>22</v>
      </c>
    </row>
    <row r="17" s="2" customFormat="1" ht="50" customHeight="1" spans="1:15">
      <c r="A17" s="21">
        <v>12</v>
      </c>
      <c r="B17" s="21" t="s">
        <v>18</v>
      </c>
      <c r="C17" s="22" t="s">
        <v>43</v>
      </c>
      <c r="D17" s="21" t="s">
        <v>20</v>
      </c>
      <c r="E17" s="28" t="s">
        <v>44</v>
      </c>
      <c r="F17" s="24">
        <f t="shared" si="1"/>
        <v>380.177757</v>
      </c>
      <c r="G17" s="24">
        <f t="shared" si="2"/>
        <v>380.177757</v>
      </c>
      <c r="H17" s="24">
        <f t="shared" si="3"/>
        <v>380.177757</v>
      </c>
      <c r="I17" s="24">
        <f>389-8.822243</f>
        <v>380.177757</v>
      </c>
      <c r="J17" s="21"/>
      <c r="K17" s="21"/>
      <c r="L17" s="21"/>
      <c r="M17" s="21"/>
      <c r="N17" s="21"/>
      <c r="O17" s="21" t="s">
        <v>22</v>
      </c>
    </row>
    <row r="18" s="2" customFormat="1" ht="50" customHeight="1" spans="1:15">
      <c r="A18" s="21">
        <v>13</v>
      </c>
      <c r="B18" s="21" t="s">
        <v>18</v>
      </c>
      <c r="C18" s="22" t="s">
        <v>45</v>
      </c>
      <c r="D18" s="21" t="s">
        <v>20</v>
      </c>
      <c r="E18" s="23" t="s">
        <v>46</v>
      </c>
      <c r="F18" s="24">
        <f t="shared" si="1"/>
        <v>372.996009</v>
      </c>
      <c r="G18" s="24">
        <f t="shared" si="2"/>
        <v>372.996009</v>
      </c>
      <c r="H18" s="24">
        <f t="shared" si="3"/>
        <v>372.996009</v>
      </c>
      <c r="I18" s="24">
        <f>397-24.003991</f>
        <v>372.996009</v>
      </c>
      <c r="J18" s="21"/>
      <c r="K18" s="21"/>
      <c r="L18" s="21"/>
      <c r="M18" s="21"/>
      <c r="N18" s="21"/>
      <c r="O18" s="21" t="s">
        <v>22</v>
      </c>
    </row>
    <row r="19" s="2" customFormat="1" ht="50" customHeight="1" spans="1:15">
      <c r="A19" s="21">
        <v>14</v>
      </c>
      <c r="B19" s="21" t="s">
        <v>18</v>
      </c>
      <c r="C19" s="22" t="s">
        <v>47</v>
      </c>
      <c r="D19" s="21" t="s">
        <v>20</v>
      </c>
      <c r="E19" s="23" t="s">
        <v>48</v>
      </c>
      <c r="F19" s="24">
        <f t="shared" si="1"/>
        <v>249</v>
      </c>
      <c r="G19" s="24">
        <f t="shared" si="2"/>
        <v>249</v>
      </c>
      <c r="H19" s="24">
        <f t="shared" si="3"/>
        <v>249</v>
      </c>
      <c r="I19" s="24">
        <f>250-1</f>
        <v>249</v>
      </c>
      <c r="J19" s="24"/>
      <c r="K19" s="24"/>
      <c r="L19" s="21"/>
      <c r="M19" s="21"/>
      <c r="N19" s="21"/>
      <c r="O19" s="21" t="s">
        <v>22</v>
      </c>
    </row>
    <row r="20" s="2" customFormat="1" ht="82" customHeight="1" spans="1:15">
      <c r="A20" s="21">
        <v>15</v>
      </c>
      <c r="B20" s="21" t="s">
        <v>18</v>
      </c>
      <c r="C20" s="22" t="s">
        <v>49</v>
      </c>
      <c r="D20" s="21" t="s">
        <v>20</v>
      </c>
      <c r="E20" s="29" t="s">
        <v>50</v>
      </c>
      <c r="F20" s="24">
        <f t="shared" si="1"/>
        <v>880</v>
      </c>
      <c r="G20" s="24">
        <f t="shared" si="2"/>
        <v>880</v>
      </c>
      <c r="H20" s="24">
        <f t="shared" si="3"/>
        <v>880</v>
      </c>
      <c r="I20" s="46">
        <f>750+130</f>
        <v>880</v>
      </c>
      <c r="J20" s="46"/>
      <c r="K20" s="46"/>
      <c r="L20" s="46"/>
      <c r="M20" s="21"/>
      <c r="N20" s="21"/>
      <c r="O20" s="21" t="s">
        <v>22</v>
      </c>
    </row>
    <row r="21" s="2" customFormat="1" ht="53" customHeight="1" spans="1:15">
      <c r="A21" s="21">
        <v>16</v>
      </c>
      <c r="B21" s="21" t="s">
        <v>18</v>
      </c>
      <c r="C21" s="22" t="s">
        <v>51</v>
      </c>
      <c r="D21" s="21" t="s">
        <v>20</v>
      </c>
      <c r="E21" s="29" t="s">
        <v>52</v>
      </c>
      <c r="F21" s="24">
        <f t="shared" si="1"/>
        <v>343.497124</v>
      </c>
      <c r="G21" s="24">
        <f t="shared" si="2"/>
        <v>343.497124</v>
      </c>
      <c r="H21" s="24">
        <f t="shared" si="3"/>
        <v>343.497124</v>
      </c>
      <c r="I21" s="24">
        <f>360-15-1.502876</f>
        <v>343.497124</v>
      </c>
      <c r="J21" s="21"/>
      <c r="K21" s="24"/>
      <c r="L21" s="21"/>
      <c r="M21" s="21"/>
      <c r="N21" s="21"/>
      <c r="O21" s="21" t="s">
        <v>22</v>
      </c>
    </row>
    <row r="22" s="2" customFormat="1" ht="77" customHeight="1" spans="1:15">
      <c r="A22" s="21">
        <v>17</v>
      </c>
      <c r="B22" s="21" t="s">
        <v>18</v>
      </c>
      <c r="C22" s="29" t="s">
        <v>53</v>
      </c>
      <c r="D22" s="21" t="s">
        <v>20</v>
      </c>
      <c r="E22" s="27" t="s">
        <v>54</v>
      </c>
      <c r="F22" s="24">
        <f t="shared" si="1"/>
        <v>926.019305471</v>
      </c>
      <c r="G22" s="24">
        <f t="shared" si="2"/>
        <v>926.019305471</v>
      </c>
      <c r="H22" s="24">
        <f t="shared" si="3"/>
        <v>926.019305471</v>
      </c>
      <c r="I22" s="24">
        <f>900+116.019305471-90</f>
        <v>926.019305471</v>
      </c>
      <c r="J22" s="21"/>
      <c r="K22" s="21"/>
      <c r="L22" s="21"/>
      <c r="M22" s="21"/>
      <c r="N22" s="21"/>
      <c r="O22" s="21" t="s">
        <v>22</v>
      </c>
    </row>
    <row r="23" s="2" customFormat="1" ht="36" customHeight="1" spans="1:15">
      <c r="A23" s="21">
        <v>18</v>
      </c>
      <c r="B23" s="21" t="s">
        <v>18</v>
      </c>
      <c r="C23" s="29" t="s">
        <v>55</v>
      </c>
      <c r="D23" s="30" t="s">
        <v>20</v>
      </c>
      <c r="E23" s="31" t="s">
        <v>56</v>
      </c>
      <c r="F23" s="24">
        <f t="shared" si="1"/>
        <v>1124.406634622</v>
      </c>
      <c r="G23" s="24">
        <f t="shared" si="2"/>
        <v>1124.406634622</v>
      </c>
      <c r="H23" s="24">
        <f t="shared" si="3"/>
        <v>1124.406634622</v>
      </c>
      <c r="I23" s="47">
        <f>1100+24.406634622</f>
        <v>1124.406634622</v>
      </c>
      <c r="J23" s="30"/>
      <c r="K23" s="30"/>
      <c r="L23" s="30"/>
      <c r="M23" s="21"/>
      <c r="N23" s="21"/>
      <c r="O23" s="21" t="s">
        <v>22</v>
      </c>
    </row>
    <row r="24" s="2" customFormat="1" ht="50" customHeight="1" spans="1:15">
      <c r="A24" s="21">
        <v>19</v>
      </c>
      <c r="B24" s="21" t="s">
        <v>18</v>
      </c>
      <c r="C24" s="29" t="s">
        <v>57</v>
      </c>
      <c r="D24" s="30" t="s">
        <v>20</v>
      </c>
      <c r="E24" s="29" t="s">
        <v>58</v>
      </c>
      <c r="F24" s="24">
        <f t="shared" si="1"/>
        <v>1070</v>
      </c>
      <c r="G24" s="24">
        <f t="shared" si="2"/>
        <v>1070</v>
      </c>
      <c r="H24" s="24">
        <f t="shared" si="3"/>
        <v>1070</v>
      </c>
      <c r="I24" s="47">
        <f>1100-30</f>
        <v>1070</v>
      </c>
      <c r="J24" s="30"/>
      <c r="K24" s="30"/>
      <c r="L24" s="30"/>
      <c r="M24" s="21"/>
      <c r="N24" s="21"/>
      <c r="O24" s="21" t="s">
        <v>22</v>
      </c>
    </row>
    <row r="25" s="2" customFormat="1" ht="50" customHeight="1" spans="1:15">
      <c r="A25" s="21">
        <v>20</v>
      </c>
      <c r="B25" s="21" t="s">
        <v>18</v>
      </c>
      <c r="C25" s="29" t="s">
        <v>59</v>
      </c>
      <c r="D25" s="30" t="s">
        <v>20</v>
      </c>
      <c r="E25" s="29" t="s">
        <v>60</v>
      </c>
      <c r="F25" s="24">
        <f t="shared" si="1"/>
        <v>1776.857235</v>
      </c>
      <c r="G25" s="24">
        <f t="shared" si="2"/>
        <v>1776.857235</v>
      </c>
      <c r="H25" s="24">
        <f t="shared" si="3"/>
        <v>1776.857235</v>
      </c>
      <c r="I25" s="47">
        <f>1600+176.857235</f>
        <v>1776.857235</v>
      </c>
      <c r="J25" s="30"/>
      <c r="K25" s="30"/>
      <c r="L25" s="30"/>
      <c r="M25" s="21"/>
      <c r="N25" s="21"/>
      <c r="O25" s="21" t="s">
        <v>22</v>
      </c>
    </row>
    <row r="26" s="2" customFormat="1" ht="50" customHeight="1" spans="1:15">
      <c r="A26" s="21">
        <v>21</v>
      </c>
      <c r="B26" s="21" t="s">
        <v>18</v>
      </c>
      <c r="C26" s="29" t="s">
        <v>61</v>
      </c>
      <c r="D26" s="30" t="s">
        <v>20</v>
      </c>
      <c r="E26" s="29" t="s">
        <v>62</v>
      </c>
      <c r="F26" s="24">
        <f t="shared" si="1"/>
        <v>667.399882654</v>
      </c>
      <c r="G26" s="24">
        <f t="shared" si="2"/>
        <v>667.399882654</v>
      </c>
      <c r="H26" s="24">
        <f t="shared" si="3"/>
        <v>667.399882654</v>
      </c>
      <c r="I26" s="47">
        <f>600+82.399882654-15</f>
        <v>667.399882654</v>
      </c>
      <c r="J26" s="30"/>
      <c r="K26" s="30"/>
      <c r="L26" s="30"/>
      <c r="M26" s="21"/>
      <c r="N26" s="21"/>
      <c r="O26" s="21" t="s">
        <v>22</v>
      </c>
    </row>
    <row r="27" s="4" customFormat="1" ht="50" customHeight="1" spans="1:15">
      <c r="A27" s="21">
        <v>22</v>
      </c>
      <c r="B27" s="21" t="s">
        <v>18</v>
      </c>
      <c r="C27" s="29" t="s">
        <v>63</v>
      </c>
      <c r="D27" s="30" t="s">
        <v>20</v>
      </c>
      <c r="E27" s="31" t="s">
        <v>64</v>
      </c>
      <c r="F27" s="24">
        <f t="shared" si="1"/>
        <v>632.985446923</v>
      </c>
      <c r="G27" s="24">
        <f t="shared" si="2"/>
        <v>632.985446923</v>
      </c>
      <c r="H27" s="24">
        <f t="shared" si="3"/>
        <v>632.985446923</v>
      </c>
      <c r="I27" s="47">
        <f>600+62.985446923-30</f>
        <v>632.985446923</v>
      </c>
      <c r="J27" s="30"/>
      <c r="K27" s="30"/>
      <c r="L27" s="30"/>
      <c r="M27" s="26"/>
      <c r="N27" s="26"/>
      <c r="O27" s="21" t="s">
        <v>22</v>
      </c>
    </row>
    <row r="28" s="4" customFormat="1" ht="50" customHeight="1" spans="1:15">
      <c r="A28" s="21">
        <v>23</v>
      </c>
      <c r="B28" s="21" t="s">
        <v>18</v>
      </c>
      <c r="C28" s="29" t="s">
        <v>65</v>
      </c>
      <c r="D28" s="30" t="s">
        <v>20</v>
      </c>
      <c r="E28" s="31" t="s">
        <v>66</v>
      </c>
      <c r="F28" s="24">
        <f t="shared" si="1"/>
        <v>816</v>
      </c>
      <c r="G28" s="24">
        <f t="shared" si="2"/>
        <v>816</v>
      </c>
      <c r="H28" s="24">
        <f t="shared" si="3"/>
        <v>816</v>
      </c>
      <c r="I28" s="47">
        <f>900-4-80</f>
        <v>816</v>
      </c>
      <c r="J28" s="30"/>
      <c r="K28" s="30"/>
      <c r="L28" s="30"/>
      <c r="M28" s="26"/>
      <c r="N28" s="26"/>
      <c r="O28" s="21" t="s">
        <v>22</v>
      </c>
    </row>
    <row r="29" s="4" customFormat="1" ht="50" customHeight="1" spans="1:15">
      <c r="A29" s="21">
        <v>24</v>
      </c>
      <c r="B29" s="21" t="s">
        <v>18</v>
      </c>
      <c r="C29" s="29" t="s">
        <v>67</v>
      </c>
      <c r="D29" s="30" t="s">
        <v>20</v>
      </c>
      <c r="E29" s="31" t="s">
        <v>68</v>
      </c>
      <c r="F29" s="24">
        <f t="shared" si="1"/>
        <v>1040.11282665</v>
      </c>
      <c r="G29" s="24">
        <f t="shared" si="2"/>
        <v>1040.11282665</v>
      </c>
      <c r="H29" s="24">
        <f t="shared" si="3"/>
        <v>1040.11282665</v>
      </c>
      <c r="I29" s="47">
        <f>1000+75.11282665-35</f>
        <v>1040.11282665</v>
      </c>
      <c r="J29" s="30"/>
      <c r="K29" s="30"/>
      <c r="L29" s="30"/>
      <c r="M29" s="26"/>
      <c r="N29" s="26"/>
      <c r="O29" s="21" t="s">
        <v>22</v>
      </c>
    </row>
    <row r="30" s="4" customFormat="1" ht="50" customHeight="1" spans="1:15">
      <c r="A30" s="21">
        <v>25</v>
      </c>
      <c r="B30" s="21" t="s">
        <v>18</v>
      </c>
      <c r="C30" s="29" t="s">
        <v>69</v>
      </c>
      <c r="D30" s="30" t="s">
        <v>20</v>
      </c>
      <c r="E30" s="31" t="s">
        <v>70</v>
      </c>
      <c r="F30" s="24">
        <f t="shared" si="1"/>
        <v>2350</v>
      </c>
      <c r="G30" s="24">
        <f t="shared" si="2"/>
        <v>2350</v>
      </c>
      <c r="H30" s="24">
        <f t="shared" si="3"/>
        <v>2350</v>
      </c>
      <c r="I30" s="47">
        <f>2400-50</f>
        <v>2350</v>
      </c>
      <c r="J30" s="30"/>
      <c r="K30" s="30"/>
      <c r="L30" s="30"/>
      <c r="M30" s="26"/>
      <c r="N30" s="26"/>
      <c r="O30" s="21" t="s">
        <v>22</v>
      </c>
    </row>
    <row r="31" s="4" customFormat="1" ht="50" customHeight="1" spans="1:15">
      <c r="A31" s="21">
        <v>26</v>
      </c>
      <c r="B31" s="21" t="s">
        <v>18</v>
      </c>
      <c r="C31" s="29" t="s">
        <v>71</v>
      </c>
      <c r="D31" s="30" t="s">
        <v>20</v>
      </c>
      <c r="E31" s="31" t="s">
        <v>72</v>
      </c>
      <c r="F31" s="24">
        <f t="shared" si="1"/>
        <v>951.604067057</v>
      </c>
      <c r="G31" s="24">
        <f t="shared" si="2"/>
        <v>951.604067057</v>
      </c>
      <c r="H31" s="24">
        <f t="shared" si="3"/>
        <v>951.604067057</v>
      </c>
      <c r="I31" s="47">
        <f>900+71.604067057-20</f>
        <v>951.604067057</v>
      </c>
      <c r="J31" s="30"/>
      <c r="K31" s="30"/>
      <c r="L31" s="30"/>
      <c r="M31" s="26"/>
      <c r="N31" s="26"/>
      <c r="O31" s="21" t="s">
        <v>22</v>
      </c>
    </row>
    <row r="32" s="4" customFormat="1" ht="50" customHeight="1" spans="1:15">
      <c r="A32" s="21">
        <v>27</v>
      </c>
      <c r="B32" s="21" t="s">
        <v>18</v>
      </c>
      <c r="C32" s="22" t="s">
        <v>73</v>
      </c>
      <c r="D32" s="30" t="s">
        <v>20</v>
      </c>
      <c r="E32" s="31" t="s">
        <v>74</v>
      </c>
      <c r="F32" s="24">
        <f t="shared" si="1"/>
        <v>1577.299507136</v>
      </c>
      <c r="G32" s="24">
        <f t="shared" si="2"/>
        <v>1577.299507136</v>
      </c>
      <c r="H32" s="24">
        <f t="shared" si="3"/>
        <v>1577.299507136</v>
      </c>
      <c r="I32" s="47">
        <f>1550+27.299507136</f>
        <v>1577.299507136</v>
      </c>
      <c r="J32" s="30"/>
      <c r="K32" s="30"/>
      <c r="L32" s="30"/>
      <c r="M32" s="26"/>
      <c r="N32" s="26"/>
      <c r="O32" s="21" t="s">
        <v>22</v>
      </c>
    </row>
    <row r="33" s="2" customFormat="1" ht="50" customHeight="1" spans="1:15">
      <c r="A33" s="21">
        <v>28</v>
      </c>
      <c r="B33" s="21" t="s">
        <v>18</v>
      </c>
      <c r="C33" s="22" t="s">
        <v>75</v>
      </c>
      <c r="D33" s="32" t="s">
        <v>20</v>
      </c>
      <c r="E33" s="33" t="s">
        <v>76</v>
      </c>
      <c r="F33" s="24">
        <f t="shared" si="1"/>
        <v>1679.397111785</v>
      </c>
      <c r="G33" s="24">
        <f t="shared" si="2"/>
        <v>1679.397111785</v>
      </c>
      <c r="H33" s="24">
        <f t="shared" si="3"/>
        <v>1679.397111785</v>
      </c>
      <c r="I33" s="48">
        <f>1650+29.397111785</f>
        <v>1679.397111785</v>
      </c>
      <c r="J33" s="32"/>
      <c r="K33" s="32"/>
      <c r="L33" s="32"/>
      <c r="M33" s="21"/>
      <c r="N33" s="21"/>
      <c r="O33" s="21" t="s">
        <v>22</v>
      </c>
    </row>
    <row r="34" s="2" customFormat="1" ht="50" customHeight="1" spans="1:15">
      <c r="A34" s="21">
        <v>29</v>
      </c>
      <c r="B34" s="21" t="s">
        <v>18</v>
      </c>
      <c r="C34" s="22" t="s">
        <v>77</v>
      </c>
      <c r="D34" s="32" t="s">
        <v>20</v>
      </c>
      <c r="E34" s="33" t="s">
        <v>78</v>
      </c>
      <c r="F34" s="24">
        <f t="shared" si="1"/>
        <v>973.116966072</v>
      </c>
      <c r="G34" s="24">
        <f t="shared" si="2"/>
        <v>973.116966072</v>
      </c>
      <c r="H34" s="24">
        <f t="shared" si="3"/>
        <v>973.116966072</v>
      </c>
      <c r="I34" s="48">
        <f>920+93.116966072-40</f>
        <v>973.116966072</v>
      </c>
      <c r="J34" s="32"/>
      <c r="K34" s="32"/>
      <c r="L34" s="32"/>
      <c r="M34" s="21"/>
      <c r="N34" s="21"/>
      <c r="O34" s="21" t="s">
        <v>22</v>
      </c>
    </row>
    <row r="35" s="2" customFormat="1" ht="50" customHeight="1" spans="1:15">
      <c r="A35" s="21">
        <v>30</v>
      </c>
      <c r="B35" s="21" t="s">
        <v>18</v>
      </c>
      <c r="C35" s="22" t="s">
        <v>79</v>
      </c>
      <c r="D35" s="32" t="s">
        <v>20</v>
      </c>
      <c r="E35" s="33" t="s">
        <v>80</v>
      </c>
      <c r="F35" s="24">
        <f t="shared" si="1"/>
        <v>399.889745272</v>
      </c>
      <c r="G35" s="24">
        <f t="shared" si="2"/>
        <v>399.889745272</v>
      </c>
      <c r="H35" s="24">
        <f t="shared" si="3"/>
        <v>399.889745272</v>
      </c>
      <c r="I35" s="48">
        <f>400+4.889745272-5</f>
        <v>399.889745272</v>
      </c>
      <c r="J35" s="32"/>
      <c r="K35" s="32"/>
      <c r="L35" s="32"/>
      <c r="M35" s="21"/>
      <c r="N35" s="21"/>
      <c r="O35" s="21" t="s">
        <v>22</v>
      </c>
    </row>
    <row r="36" s="2" customFormat="1" ht="50" customHeight="1" spans="1:15">
      <c r="A36" s="21">
        <v>31</v>
      </c>
      <c r="B36" s="21" t="s">
        <v>18</v>
      </c>
      <c r="C36" s="22" t="s">
        <v>81</v>
      </c>
      <c r="D36" s="32" t="s">
        <v>20</v>
      </c>
      <c r="E36" s="33" t="s">
        <v>82</v>
      </c>
      <c r="F36" s="24">
        <f t="shared" si="1"/>
        <v>322.400583</v>
      </c>
      <c r="G36" s="24">
        <f t="shared" si="2"/>
        <v>322.400583</v>
      </c>
      <c r="H36" s="24">
        <f t="shared" si="3"/>
        <v>322.400583</v>
      </c>
      <c r="I36" s="44">
        <f>344-18.59-3.009417</f>
        <v>322.400583</v>
      </c>
      <c r="J36" s="49"/>
      <c r="K36" s="49"/>
      <c r="L36" s="49"/>
      <c r="M36" s="21"/>
      <c r="N36" s="21"/>
      <c r="O36" s="21" t="s">
        <v>22</v>
      </c>
    </row>
    <row r="37" s="2" customFormat="1" ht="50" customHeight="1" spans="1:15">
      <c r="A37" s="21">
        <v>32</v>
      </c>
      <c r="B37" s="21" t="s">
        <v>18</v>
      </c>
      <c r="C37" s="22" t="s">
        <v>83</v>
      </c>
      <c r="D37" s="34" t="s">
        <v>20</v>
      </c>
      <c r="E37" s="33" t="s">
        <v>84</v>
      </c>
      <c r="F37" s="24">
        <f t="shared" si="1"/>
        <v>388</v>
      </c>
      <c r="G37" s="24">
        <f t="shared" si="2"/>
        <v>388</v>
      </c>
      <c r="H37" s="24">
        <f t="shared" si="3"/>
        <v>388</v>
      </c>
      <c r="I37" s="32">
        <v>388</v>
      </c>
      <c r="J37" s="32"/>
      <c r="K37" s="32"/>
      <c r="L37" s="32"/>
      <c r="M37" s="21"/>
      <c r="N37" s="21"/>
      <c r="O37" s="21" t="s">
        <v>22</v>
      </c>
    </row>
    <row r="38" s="2" customFormat="1" ht="78" customHeight="1" spans="1:15">
      <c r="A38" s="21">
        <v>33</v>
      </c>
      <c r="B38" s="21" t="s">
        <v>18</v>
      </c>
      <c r="C38" s="22" t="s">
        <v>85</v>
      </c>
      <c r="D38" s="34" t="s">
        <v>20</v>
      </c>
      <c r="E38" s="33" t="s">
        <v>86</v>
      </c>
      <c r="F38" s="24">
        <f t="shared" si="1"/>
        <v>1030</v>
      </c>
      <c r="G38" s="24">
        <f t="shared" si="2"/>
        <v>1030</v>
      </c>
      <c r="H38" s="24">
        <f t="shared" si="3"/>
        <v>1030</v>
      </c>
      <c r="I38" s="32">
        <f>1200-110-60</f>
        <v>1030</v>
      </c>
      <c r="J38" s="32"/>
      <c r="K38" s="32"/>
      <c r="L38" s="32"/>
      <c r="M38" s="21"/>
      <c r="N38" s="21"/>
      <c r="O38" s="21" t="s">
        <v>22</v>
      </c>
    </row>
    <row r="39" s="2" customFormat="1" ht="50" customHeight="1" spans="1:15">
      <c r="A39" s="21">
        <v>34</v>
      </c>
      <c r="B39" s="21" t="s">
        <v>18</v>
      </c>
      <c r="C39" s="22" t="s">
        <v>87</v>
      </c>
      <c r="D39" s="32" t="s">
        <v>20</v>
      </c>
      <c r="E39" s="33" t="s">
        <v>88</v>
      </c>
      <c r="F39" s="24">
        <f t="shared" ref="F39:F90" si="4">G39+M39+N39</f>
        <v>1189.644367526</v>
      </c>
      <c r="G39" s="24">
        <f t="shared" ref="G39:G90" si="5">H39+L39</f>
        <v>1189.644367526</v>
      </c>
      <c r="H39" s="24">
        <f t="shared" ref="H39:H90" si="6">I39+J39+K39</f>
        <v>1189.644367526</v>
      </c>
      <c r="I39" s="44">
        <f>1115+89.644367526-15</f>
        <v>1189.644367526</v>
      </c>
      <c r="J39" s="49"/>
      <c r="K39" s="49"/>
      <c r="L39" s="49"/>
      <c r="M39" s="21"/>
      <c r="N39" s="21"/>
      <c r="O39" s="21" t="s">
        <v>22</v>
      </c>
    </row>
    <row r="40" s="2" customFormat="1" ht="50" customHeight="1" spans="1:15">
      <c r="A40" s="21">
        <v>35</v>
      </c>
      <c r="B40" s="21" t="s">
        <v>18</v>
      </c>
      <c r="C40" s="22" t="s">
        <v>89</v>
      </c>
      <c r="D40" s="35" t="s">
        <v>20</v>
      </c>
      <c r="E40" s="36" t="s">
        <v>90</v>
      </c>
      <c r="F40" s="24">
        <f t="shared" si="4"/>
        <v>375.261984</v>
      </c>
      <c r="G40" s="24">
        <f t="shared" si="5"/>
        <v>375.261984</v>
      </c>
      <c r="H40" s="24">
        <f t="shared" si="6"/>
        <v>375.261984</v>
      </c>
      <c r="I40" s="44">
        <f>388-12.738016</f>
        <v>375.261984</v>
      </c>
      <c r="J40" s="49"/>
      <c r="K40" s="49"/>
      <c r="L40" s="49"/>
      <c r="M40" s="21"/>
      <c r="N40" s="21"/>
      <c r="O40" s="21" t="s">
        <v>22</v>
      </c>
    </row>
    <row r="41" s="2" customFormat="1" ht="50" customHeight="1" spans="1:15">
      <c r="A41" s="21">
        <v>36</v>
      </c>
      <c r="B41" s="21" t="s">
        <v>18</v>
      </c>
      <c r="C41" s="22" t="s">
        <v>91</v>
      </c>
      <c r="D41" s="35" t="s">
        <v>20</v>
      </c>
      <c r="E41" s="37" t="s">
        <v>92</v>
      </c>
      <c r="F41" s="24">
        <f t="shared" si="4"/>
        <v>388</v>
      </c>
      <c r="G41" s="24">
        <f t="shared" si="5"/>
        <v>388</v>
      </c>
      <c r="H41" s="24">
        <f t="shared" si="6"/>
        <v>388</v>
      </c>
      <c r="I41" s="48">
        <v>388</v>
      </c>
      <c r="J41" s="32"/>
      <c r="K41" s="32"/>
      <c r="L41" s="32"/>
      <c r="M41" s="21"/>
      <c r="N41" s="49"/>
      <c r="O41" s="21" t="s">
        <v>22</v>
      </c>
    </row>
    <row r="42" s="2" customFormat="1" ht="50" customHeight="1" spans="1:15">
      <c r="A42" s="21">
        <v>37</v>
      </c>
      <c r="B42" s="21" t="s">
        <v>18</v>
      </c>
      <c r="C42" s="22" t="s">
        <v>93</v>
      </c>
      <c r="D42" s="35" t="s">
        <v>20</v>
      </c>
      <c r="E42" s="27" t="s">
        <v>94</v>
      </c>
      <c r="F42" s="24">
        <f t="shared" si="4"/>
        <v>362.682179</v>
      </c>
      <c r="G42" s="24">
        <f t="shared" si="5"/>
        <v>362.682179</v>
      </c>
      <c r="H42" s="24">
        <f t="shared" si="6"/>
        <v>362.682179</v>
      </c>
      <c r="I42" s="48">
        <f>388-25.317821</f>
        <v>362.682179</v>
      </c>
      <c r="J42" s="32"/>
      <c r="K42" s="32"/>
      <c r="L42" s="32"/>
      <c r="M42" s="21"/>
      <c r="N42" s="21"/>
      <c r="O42" s="21" t="s">
        <v>22</v>
      </c>
    </row>
    <row r="43" s="4" customFormat="1" ht="50" customHeight="1" spans="1:15">
      <c r="A43" s="21">
        <v>38</v>
      </c>
      <c r="B43" s="21" t="s">
        <v>18</v>
      </c>
      <c r="C43" s="22" t="s">
        <v>95</v>
      </c>
      <c r="D43" s="21" t="s">
        <v>20</v>
      </c>
      <c r="E43" s="22" t="s">
        <v>96</v>
      </c>
      <c r="F43" s="24">
        <f t="shared" si="4"/>
        <v>1208</v>
      </c>
      <c r="G43" s="24">
        <f t="shared" si="5"/>
        <v>1208</v>
      </c>
      <c r="H43" s="24">
        <f t="shared" si="6"/>
        <v>1208</v>
      </c>
      <c r="I43" s="24"/>
      <c r="J43" s="21">
        <f>1378-170</f>
        <v>1208</v>
      </c>
      <c r="K43" s="21"/>
      <c r="L43" s="21"/>
      <c r="M43" s="21"/>
      <c r="N43" s="21"/>
      <c r="O43" s="21" t="s">
        <v>22</v>
      </c>
    </row>
    <row r="44" s="4" customFormat="1" ht="53" customHeight="1" spans="1:15">
      <c r="A44" s="21">
        <v>39</v>
      </c>
      <c r="B44" s="21" t="s">
        <v>18</v>
      </c>
      <c r="C44" s="22" t="s">
        <v>97</v>
      </c>
      <c r="D44" s="21" t="s">
        <v>20</v>
      </c>
      <c r="E44" s="22" t="s">
        <v>98</v>
      </c>
      <c r="F44" s="24">
        <f t="shared" si="4"/>
        <v>352.901525</v>
      </c>
      <c r="G44" s="24">
        <f t="shared" si="5"/>
        <v>352.901525</v>
      </c>
      <c r="H44" s="24">
        <f t="shared" si="6"/>
        <v>352.901525</v>
      </c>
      <c r="I44" s="24">
        <f>389-33.232555-2.86592</f>
        <v>352.901525</v>
      </c>
      <c r="J44" s="21"/>
      <c r="K44" s="21"/>
      <c r="L44" s="21"/>
      <c r="M44" s="21"/>
      <c r="N44" s="21"/>
      <c r="O44" s="21" t="s">
        <v>22</v>
      </c>
    </row>
    <row r="45" s="4" customFormat="1" ht="50" customHeight="1" spans="1:15">
      <c r="A45" s="21">
        <v>40</v>
      </c>
      <c r="B45" s="21" t="s">
        <v>18</v>
      </c>
      <c r="C45" s="22" t="s">
        <v>99</v>
      </c>
      <c r="D45" s="21" t="s">
        <v>20</v>
      </c>
      <c r="E45" s="22" t="s">
        <v>100</v>
      </c>
      <c r="F45" s="24">
        <f t="shared" si="4"/>
        <v>370.39333</v>
      </c>
      <c r="G45" s="24">
        <f t="shared" si="5"/>
        <v>370.39333</v>
      </c>
      <c r="H45" s="24">
        <f t="shared" si="6"/>
        <v>370.39333</v>
      </c>
      <c r="I45" s="24">
        <f>386-15.60667</f>
        <v>370.39333</v>
      </c>
      <c r="J45" s="21"/>
      <c r="K45" s="21"/>
      <c r="L45" s="21"/>
      <c r="M45" s="21"/>
      <c r="N45" s="21"/>
      <c r="O45" s="21" t="s">
        <v>22</v>
      </c>
    </row>
    <row r="46" s="4" customFormat="1" ht="50" customHeight="1" spans="1:15">
      <c r="A46" s="21">
        <v>41</v>
      </c>
      <c r="B46" s="21" t="s">
        <v>18</v>
      </c>
      <c r="C46" s="22" t="s">
        <v>101</v>
      </c>
      <c r="D46" s="21" t="s">
        <v>20</v>
      </c>
      <c r="E46" s="22" t="s">
        <v>102</v>
      </c>
      <c r="F46" s="24">
        <f t="shared" si="4"/>
        <v>321.94261</v>
      </c>
      <c r="G46" s="24">
        <f t="shared" si="5"/>
        <v>321.94261</v>
      </c>
      <c r="H46" s="24">
        <f t="shared" si="6"/>
        <v>321.94261</v>
      </c>
      <c r="I46" s="24">
        <f>388-52.956693-13.100697</f>
        <v>321.94261</v>
      </c>
      <c r="J46" s="21"/>
      <c r="K46" s="21"/>
      <c r="L46" s="24"/>
      <c r="M46" s="21"/>
      <c r="N46" s="21"/>
      <c r="O46" s="21" t="s">
        <v>22</v>
      </c>
    </row>
    <row r="47" s="4" customFormat="1" ht="50" customHeight="1" spans="1:15">
      <c r="A47" s="21">
        <v>42</v>
      </c>
      <c r="B47" s="21" t="s">
        <v>18</v>
      </c>
      <c r="C47" s="22" t="s">
        <v>103</v>
      </c>
      <c r="D47" s="21" t="s">
        <v>20</v>
      </c>
      <c r="E47" s="22" t="s">
        <v>104</v>
      </c>
      <c r="F47" s="24">
        <f t="shared" si="4"/>
        <v>374.521596</v>
      </c>
      <c r="G47" s="24">
        <f t="shared" si="5"/>
        <v>374.521596</v>
      </c>
      <c r="H47" s="24">
        <f t="shared" si="6"/>
        <v>374.521596</v>
      </c>
      <c r="I47" s="21">
        <f>386-6-5.478404</f>
        <v>374.521596</v>
      </c>
      <c r="J47" s="21"/>
      <c r="K47" s="21"/>
      <c r="L47" s="24"/>
      <c r="M47" s="21"/>
      <c r="N47" s="21"/>
      <c r="O47" s="21" t="s">
        <v>22</v>
      </c>
    </row>
    <row r="48" s="4" customFormat="1" ht="50" customHeight="1" spans="1:15">
      <c r="A48" s="21">
        <v>43</v>
      </c>
      <c r="B48" s="21" t="s">
        <v>18</v>
      </c>
      <c r="C48" s="22" t="s">
        <v>105</v>
      </c>
      <c r="D48" s="21" t="s">
        <v>20</v>
      </c>
      <c r="E48" s="22" t="s">
        <v>106</v>
      </c>
      <c r="F48" s="24">
        <f t="shared" si="4"/>
        <v>358.905079</v>
      </c>
      <c r="G48" s="24">
        <f t="shared" si="5"/>
        <v>358.905079</v>
      </c>
      <c r="H48" s="24">
        <f t="shared" si="6"/>
        <v>358.905079</v>
      </c>
      <c r="I48" s="24">
        <f>389-8.834079-21.260842</f>
        <v>358.905079</v>
      </c>
      <c r="J48" s="24"/>
      <c r="K48" s="24"/>
      <c r="L48" s="24"/>
      <c r="M48" s="21"/>
      <c r="N48" s="21"/>
      <c r="O48" s="21" t="s">
        <v>22</v>
      </c>
    </row>
    <row r="49" s="4" customFormat="1" ht="50" customHeight="1" spans="1:15">
      <c r="A49" s="21">
        <v>44</v>
      </c>
      <c r="B49" s="21" t="s">
        <v>18</v>
      </c>
      <c r="C49" s="22" t="s">
        <v>107</v>
      </c>
      <c r="D49" s="21" t="s">
        <v>20</v>
      </c>
      <c r="E49" s="22" t="s">
        <v>108</v>
      </c>
      <c r="F49" s="24">
        <f t="shared" si="4"/>
        <v>1325.188755112</v>
      </c>
      <c r="G49" s="24">
        <f t="shared" si="5"/>
        <v>1325.188755112</v>
      </c>
      <c r="H49" s="24">
        <f t="shared" si="6"/>
        <v>1325.188755112</v>
      </c>
      <c r="I49" s="44">
        <f>1350+15.188755112-40</f>
        <v>1325.188755112</v>
      </c>
      <c r="J49" s="49"/>
      <c r="K49" s="49"/>
      <c r="L49" s="49"/>
      <c r="M49" s="24"/>
      <c r="N49" s="21"/>
      <c r="O49" s="21" t="s">
        <v>22</v>
      </c>
    </row>
    <row r="50" s="4" customFormat="1" ht="82" customHeight="1" spans="1:15">
      <c r="A50" s="21">
        <v>45</v>
      </c>
      <c r="B50" s="21" t="s">
        <v>18</v>
      </c>
      <c r="C50" s="25" t="s">
        <v>109</v>
      </c>
      <c r="D50" s="21" t="s">
        <v>20</v>
      </c>
      <c r="E50" s="22" t="s">
        <v>110</v>
      </c>
      <c r="F50" s="24">
        <f t="shared" si="4"/>
        <v>364</v>
      </c>
      <c r="G50" s="24">
        <f t="shared" si="5"/>
        <v>364</v>
      </c>
      <c r="H50" s="24">
        <f t="shared" si="6"/>
        <v>364</v>
      </c>
      <c r="I50" s="24">
        <f>388-24</f>
        <v>364</v>
      </c>
      <c r="J50" s="21"/>
      <c r="K50" s="21"/>
      <c r="L50" s="21"/>
      <c r="M50" s="21"/>
      <c r="N50" s="21"/>
      <c r="O50" s="21" t="s">
        <v>22</v>
      </c>
    </row>
    <row r="51" s="4" customFormat="1" ht="79" customHeight="1" spans="1:15">
      <c r="A51" s="21">
        <v>46</v>
      </c>
      <c r="B51" s="21" t="s">
        <v>18</v>
      </c>
      <c r="C51" s="22" t="s">
        <v>111</v>
      </c>
      <c r="D51" s="21" t="s">
        <v>20</v>
      </c>
      <c r="E51" s="25" t="s">
        <v>112</v>
      </c>
      <c r="F51" s="24">
        <f t="shared" si="4"/>
        <v>351.775925</v>
      </c>
      <c r="G51" s="24">
        <f t="shared" si="5"/>
        <v>351.775925</v>
      </c>
      <c r="H51" s="24">
        <f t="shared" si="6"/>
        <v>351.775925</v>
      </c>
      <c r="I51" s="45">
        <f>386-26.410967-7.813108</f>
        <v>351.775925</v>
      </c>
      <c r="J51" s="45"/>
      <c r="K51" s="45"/>
      <c r="L51" s="45"/>
      <c r="M51" s="26"/>
      <c r="N51" s="26"/>
      <c r="O51" s="21" t="s">
        <v>22</v>
      </c>
    </row>
    <row r="52" s="2" customFormat="1" ht="91" customHeight="1" spans="1:15">
      <c r="A52" s="21">
        <v>47</v>
      </c>
      <c r="B52" s="21" t="s">
        <v>18</v>
      </c>
      <c r="C52" s="22" t="s">
        <v>113</v>
      </c>
      <c r="D52" s="21" t="s">
        <v>20</v>
      </c>
      <c r="E52" s="33" t="s">
        <v>114</v>
      </c>
      <c r="F52" s="24">
        <f t="shared" si="4"/>
        <v>336.904923</v>
      </c>
      <c r="G52" s="24">
        <f t="shared" si="5"/>
        <v>336.904923</v>
      </c>
      <c r="H52" s="24">
        <f t="shared" si="6"/>
        <v>336.904923</v>
      </c>
      <c r="I52" s="24">
        <f>388-51.095077</f>
        <v>336.904923</v>
      </c>
      <c r="J52" s="21"/>
      <c r="K52" s="21"/>
      <c r="L52" s="21"/>
      <c r="M52" s="21"/>
      <c r="N52" s="21"/>
      <c r="O52" s="21" t="s">
        <v>22</v>
      </c>
    </row>
    <row r="53" s="2" customFormat="1" ht="98" customHeight="1" spans="1:15">
      <c r="A53" s="21">
        <v>48</v>
      </c>
      <c r="B53" s="21" t="s">
        <v>18</v>
      </c>
      <c r="C53" s="22" t="s">
        <v>115</v>
      </c>
      <c r="D53" s="21" t="s">
        <v>20</v>
      </c>
      <c r="E53" s="38" t="s">
        <v>116</v>
      </c>
      <c r="F53" s="24">
        <f t="shared" si="4"/>
        <v>354.970678</v>
      </c>
      <c r="G53" s="24">
        <f t="shared" si="5"/>
        <v>354.970678</v>
      </c>
      <c r="H53" s="24">
        <f t="shared" si="6"/>
        <v>354.970678</v>
      </c>
      <c r="I53" s="24">
        <f>385-30.029322</f>
        <v>354.970678</v>
      </c>
      <c r="J53" s="21"/>
      <c r="K53" s="21"/>
      <c r="L53" s="21"/>
      <c r="M53" s="21"/>
      <c r="N53" s="21"/>
      <c r="O53" s="21" t="s">
        <v>22</v>
      </c>
    </row>
    <row r="54" s="2" customFormat="1" ht="91" customHeight="1" spans="1:15">
      <c r="A54" s="21">
        <v>49</v>
      </c>
      <c r="B54" s="21" t="s">
        <v>18</v>
      </c>
      <c r="C54" s="22" t="s">
        <v>117</v>
      </c>
      <c r="D54" s="21" t="s">
        <v>20</v>
      </c>
      <c r="E54" s="33" t="s">
        <v>118</v>
      </c>
      <c r="F54" s="24">
        <f t="shared" si="4"/>
        <v>1353.378779</v>
      </c>
      <c r="G54" s="24">
        <f t="shared" si="5"/>
        <v>1353.378779</v>
      </c>
      <c r="H54" s="24">
        <f t="shared" si="6"/>
        <v>1353.378779</v>
      </c>
      <c r="I54" s="24">
        <f>1025+23.558324+4.820455+300</f>
        <v>1353.378779</v>
      </c>
      <c r="J54" s="21"/>
      <c r="K54" s="21"/>
      <c r="L54" s="21"/>
      <c r="M54" s="21"/>
      <c r="N54" s="21"/>
      <c r="O54" s="21" t="s">
        <v>22</v>
      </c>
    </row>
    <row r="55" s="2" customFormat="1" ht="103" customHeight="1" spans="1:15">
      <c r="A55" s="21">
        <v>50</v>
      </c>
      <c r="B55" s="21" t="s">
        <v>18</v>
      </c>
      <c r="C55" s="22" t="s">
        <v>119</v>
      </c>
      <c r="D55" s="21" t="s">
        <v>120</v>
      </c>
      <c r="E55" s="33" t="s">
        <v>121</v>
      </c>
      <c r="F55" s="24">
        <f t="shared" si="4"/>
        <v>3513.523154</v>
      </c>
      <c r="G55" s="24">
        <f t="shared" si="5"/>
        <v>3513.523154</v>
      </c>
      <c r="H55" s="24">
        <f t="shared" si="6"/>
        <v>2553.167578</v>
      </c>
      <c r="I55" s="24">
        <f>2122+326.8951+102.528915+1.743563</f>
        <v>2553.167578</v>
      </c>
      <c r="J55" s="21"/>
      <c r="K55" s="21"/>
      <c r="L55" s="24">
        <f>464.2+480+111.341436-214.1+118.91414</f>
        <v>960.355576</v>
      </c>
      <c r="M55" s="21"/>
      <c r="N55" s="21"/>
      <c r="O55" s="21" t="s">
        <v>22</v>
      </c>
    </row>
    <row r="56" s="2" customFormat="1" ht="60" customHeight="1" spans="1:15">
      <c r="A56" s="21">
        <v>51</v>
      </c>
      <c r="B56" s="21" t="s">
        <v>18</v>
      </c>
      <c r="C56" s="22" t="s">
        <v>122</v>
      </c>
      <c r="D56" s="21" t="s">
        <v>120</v>
      </c>
      <c r="E56" s="29" t="s">
        <v>123</v>
      </c>
      <c r="F56" s="24">
        <f t="shared" si="4"/>
        <v>1504.8</v>
      </c>
      <c r="G56" s="24">
        <f t="shared" si="5"/>
        <v>1504.8</v>
      </c>
      <c r="H56" s="24"/>
      <c r="I56" s="24"/>
      <c r="J56" s="21"/>
      <c r="K56" s="21"/>
      <c r="L56" s="21">
        <v>1504.8</v>
      </c>
      <c r="M56" s="21"/>
      <c r="N56" s="21"/>
      <c r="O56" s="21" t="s">
        <v>22</v>
      </c>
    </row>
    <row r="57" s="2" customFormat="1" ht="103" customHeight="1" spans="1:15">
      <c r="A57" s="21">
        <v>52</v>
      </c>
      <c r="B57" s="21" t="s">
        <v>18</v>
      </c>
      <c r="C57" s="22" t="s">
        <v>124</v>
      </c>
      <c r="D57" s="21" t="s">
        <v>120</v>
      </c>
      <c r="E57" s="23" t="s">
        <v>125</v>
      </c>
      <c r="F57" s="24">
        <f t="shared" si="4"/>
        <v>1504.4</v>
      </c>
      <c r="G57" s="24">
        <f t="shared" si="5"/>
        <v>1504.4</v>
      </c>
      <c r="H57" s="24">
        <f t="shared" si="6"/>
        <v>724.7</v>
      </c>
      <c r="I57" s="24">
        <f>500+41+38.204034+100+45.495966</f>
        <v>724.7</v>
      </c>
      <c r="J57" s="21"/>
      <c r="K57" s="21"/>
      <c r="L57" s="21">
        <f>500+214.1+61.2+4.4</f>
        <v>779.7</v>
      </c>
      <c r="M57" s="21"/>
      <c r="N57" s="21"/>
      <c r="O57" s="21" t="s">
        <v>22</v>
      </c>
    </row>
    <row r="58" s="2" customFormat="1" ht="60" customHeight="1" spans="1:15">
      <c r="A58" s="21">
        <v>53</v>
      </c>
      <c r="B58" s="21" t="s">
        <v>18</v>
      </c>
      <c r="C58" s="22" t="s">
        <v>126</v>
      </c>
      <c r="D58" s="21" t="s">
        <v>120</v>
      </c>
      <c r="E58" s="38" t="s">
        <v>127</v>
      </c>
      <c r="F58" s="24">
        <f t="shared" si="4"/>
        <v>136.2</v>
      </c>
      <c r="G58" s="24">
        <f t="shared" si="5"/>
        <v>136.2</v>
      </c>
      <c r="H58" s="24">
        <f t="shared" si="6"/>
        <v>136.2</v>
      </c>
      <c r="I58" s="24">
        <f>315.6-170-9.4</f>
        <v>136.2</v>
      </c>
      <c r="J58" s="21"/>
      <c r="K58" s="21"/>
      <c r="L58" s="21"/>
      <c r="M58" s="21"/>
      <c r="N58" s="21"/>
      <c r="O58" s="21" t="s">
        <v>22</v>
      </c>
    </row>
    <row r="59" s="2" customFormat="1" ht="50" customHeight="1" spans="1:15">
      <c r="A59" s="21">
        <v>54</v>
      </c>
      <c r="B59" s="21" t="s">
        <v>18</v>
      </c>
      <c r="C59" s="29" t="s">
        <v>128</v>
      </c>
      <c r="D59" s="21" t="s">
        <v>129</v>
      </c>
      <c r="E59" s="23" t="s">
        <v>130</v>
      </c>
      <c r="F59" s="24">
        <f t="shared" si="4"/>
        <v>2306.559551</v>
      </c>
      <c r="G59" s="24">
        <f t="shared" si="5"/>
        <v>2306.559551</v>
      </c>
      <c r="H59" s="24">
        <f t="shared" si="6"/>
        <v>2306.559551</v>
      </c>
      <c r="I59" s="24">
        <f>2380-73.440449</f>
        <v>2306.559551</v>
      </c>
      <c r="J59" s="21"/>
      <c r="K59" s="21"/>
      <c r="L59" s="21"/>
      <c r="M59" s="21"/>
      <c r="N59" s="21"/>
      <c r="O59" s="21" t="s">
        <v>22</v>
      </c>
    </row>
    <row r="60" s="2" customFormat="1" ht="50" customHeight="1" spans="1:15">
      <c r="A60" s="21">
        <v>55</v>
      </c>
      <c r="B60" s="21" t="s">
        <v>18</v>
      </c>
      <c r="C60" s="29" t="s">
        <v>131</v>
      </c>
      <c r="D60" s="30" t="s">
        <v>129</v>
      </c>
      <c r="E60" s="29" t="s">
        <v>132</v>
      </c>
      <c r="F60" s="24">
        <f t="shared" si="4"/>
        <v>2419.925182</v>
      </c>
      <c r="G60" s="24">
        <f t="shared" si="5"/>
        <v>2352.925182</v>
      </c>
      <c r="H60" s="24">
        <f t="shared" si="6"/>
        <v>2352.925182</v>
      </c>
      <c r="I60" s="24">
        <f>2300+54.68732-1.762138</f>
        <v>2352.925182</v>
      </c>
      <c r="J60" s="21"/>
      <c r="K60" s="21"/>
      <c r="L60" s="21"/>
      <c r="M60" s="21">
        <v>67</v>
      </c>
      <c r="N60" s="21"/>
      <c r="O60" s="21" t="s">
        <v>22</v>
      </c>
    </row>
    <row r="61" s="2" customFormat="1" ht="50" customHeight="1" spans="1:15">
      <c r="A61" s="21">
        <v>56</v>
      </c>
      <c r="B61" s="21" t="s">
        <v>18</v>
      </c>
      <c r="C61" s="29" t="s">
        <v>133</v>
      </c>
      <c r="D61" s="30" t="s">
        <v>129</v>
      </c>
      <c r="E61" s="29" t="s">
        <v>134</v>
      </c>
      <c r="F61" s="24">
        <f t="shared" si="4"/>
        <v>359.151763</v>
      </c>
      <c r="G61" s="24">
        <f t="shared" si="5"/>
        <v>359.151763</v>
      </c>
      <c r="H61" s="24">
        <f t="shared" si="6"/>
        <v>359.151763</v>
      </c>
      <c r="I61" s="24">
        <f>377-17.848237</f>
        <v>359.151763</v>
      </c>
      <c r="J61" s="21"/>
      <c r="K61" s="21"/>
      <c r="L61" s="21"/>
      <c r="M61" s="21"/>
      <c r="N61" s="21"/>
      <c r="O61" s="21" t="s">
        <v>22</v>
      </c>
    </row>
    <row r="62" s="2" customFormat="1" ht="50" customHeight="1" spans="1:15">
      <c r="A62" s="21">
        <v>57</v>
      </c>
      <c r="B62" s="21" t="s">
        <v>18</v>
      </c>
      <c r="C62" s="29" t="s">
        <v>135</v>
      </c>
      <c r="D62" s="30" t="s">
        <v>129</v>
      </c>
      <c r="E62" s="29" t="s">
        <v>136</v>
      </c>
      <c r="F62" s="24">
        <f t="shared" si="4"/>
        <v>386.478075</v>
      </c>
      <c r="G62" s="24">
        <f t="shared" si="5"/>
        <v>386.478075</v>
      </c>
      <c r="H62" s="24"/>
      <c r="I62" s="21"/>
      <c r="J62" s="21"/>
      <c r="K62" s="21"/>
      <c r="L62" s="24">
        <f>399-12.521925</f>
        <v>386.478075</v>
      </c>
      <c r="M62" s="21"/>
      <c r="N62" s="21"/>
      <c r="O62" s="21" t="s">
        <v>22</v>
      </c>
    </row>
    <row r="63" s="2" customFormat="1" ht="56" customHeight="1" spans="1:15">
      <c r="A63" s="21">
        <v>58</v>
      </c>
      <c r="B63" s="21" t="s">
        <v>18</v>
      </c>
      <c r="C63" s="29" t="s">
        <v>137</v>
      </c>
      <c r="D63" s="30" t="s">
        <v>129</v>
      </c>
      <c r="E63" s="29" t="s">
        <v>138</v>
      </c>
      <c r="F63" s="24">
        <f t="shared" si="4"/>
        <v>351.936487</v>
      </c>
      <c r="G63" s="24">
        <f t="shared" si="5"/>
        <v>351.936487</v>
      </c>
      <c r="H63" s="24">
        <f t="shared" si="6"/>
        <v>351.936487</v>
      </c>
      <c r="I63" s="21"/>
      <c r="J63" s="21"/>
      <c r="K63" s="24">
        <f>379-27.063513</f>
        <v>351.936487</v>
      </c>
      <c r="L63" s="24"/>
      <c r="M63" s="21"/>
      <c r="N63" s="21"/>
      <c r="O63" s="21" t="s">
        <v>22</v>
      </c>
    </row>
    <row r="64" s="2" customFormat="1" ht="50" customHeight="1" spans="1:15">
      <c r="A64" s="21">
        <v>59</v>
      </c>
      <c r="B64" s="21" t="s">
        <v>18</v>
      </c>
      <c r="C64" s="33" t="s">
        <v>139</v>
      </c>
      <c r="D64" s="30" t="s">
        <v>129</v>
      </c>
      <c r="E64" s="29" t="s">
        <v>140</v>
      </c>
      <c r="F64" s="24">
        <f t="shared" si="4"/>
        <v>347.29</v>
      </c>
      <c r="G64" s="24">
        <f t="shared" si="5"/>
        <v>347.29</v>
      </c>
      <c r="H64" s="24">
        <f t="shared" si="6"/>
        <v>347.29</v>
      </c>
      <c r="I64" s="21"/>
      <c r="J64" s="21"/>
      <c r="K64" s="21">
        <f>385-37.71</f>
        <v>347.29</v>
      </c>
      <c r="L64" s="21"/>
      <c r="M64" s="21"/>
      <c r="N64" s="21"/>
      <c r="O64" s="21" t="s">
        <v>22</v>
      </c>
    </row>
    <row r="65" s="2" customFormat="1" ht="103" customHeight="1" spans="1:15">
      <c r="A65" s="21">
        <v>60</v>
      </c>
      <c r="B65" s="21" t="s">
        <v>18</v>
      </c>
      <c r="C65" s="33" t="s">
        <v>141</v>
      </c>
      <c r="D65" s="30" t="s">
        <v>129</v>
      </c>
      <c r="E65" s="33" t="s">
        <v>142</v>
      </c>
      <c r="F65" s="24">
        <f t="shared" si="4"/>
        <v>365.679139</v>
      </c>
      <c r="G65" s="24">
        <f t="shared" si="5"/>
        <v>365.679139</v>
      </c>
      <c r="H65" s="24">
        <f t="shared" si="6"/>
        <v>365.679139</v>
      </c>
      <c r="I65" s="24"/>
      <c r="J65" s="21"/>
      <c r="K65" s="24">
        <f>370-4.320861</f>
        <v>365.679139</v>
      </c>
      <c r="L65" s="21"/>
      <c r="M65" s="21"/>
      <c r="N65" s="21"/>
      <c r="O65" s="21" t="s">
        <v>22</v>
      </c>
    </row>
    <row r="66" s="2" customFormat="1" ht="50" customHeight="1" spans="1:15">
      <c r="A66" s="21">
        <v>61</v>
      </c>
      <c r="B66" s="21" t="s">
        <v>18</v>
      </c>
      <c r="C66" s="33" t="s">
        <v>143</v>
      </c>
      <c r="D66" s="30" t="s">
        <v>129</v>
      </c>
      <c r="E66" s="33" t="s">
        <v>144</v>
      </c>
      <c r="F66" s="24">
        <f t="shared" si="4"/>
        <v>348.299853</v>
      </c>
      <c r="G66" s="24">
        <f t="shared" si="5"/>
        <v>348.299853</v>
      </c>
      <c r="H66" s="24">
        <f t="shared" si="6"/>
        <v>348.299853</v>
      </c>
      <c r="I66" s="21"/>
      <c r="J66" s="21"/>
      <c r="K66" s="24">
        <f>376-27.700147</f>
        <v>348.299853</v>
      </c>
      <c r="L66" s="21"/>
      <c r="M66" s="21"/>
      <c r="N66" s="21"/>
      <c r="O66" s="21" t="s">
        <v>22</v>
      </c>
    </row>
    <row r="67" s="2" customFormat="1" ht="77" customHeight="1" spans="1:15">
      <c r="A67" s="21">
        <v>62</v>
      </c>
      <c r="B67" s="21" t="s">
        <v>18</v>
      </c>
      <c r="C67" s="33" t="s">
        <v>145</v>
      </c>
      <c r="D67" s="30" t="s">
        <v>129</v>
      </c>
      <c r="E67" s="33" t="s">
        <v>146</v>
      </c>
      <c r="F67" s="24">
        <f t="shared" si="4"/>
        <v>327.210246</v>
      </c>
      <c r="G67" s="24">
        <f t="shared" si="5"/>
        <v>327.210246</v>
      </c>
      <c r="H67" s="24">
        <f t="shared" si="6"/>
        <v>327.210246</v>
      </c>
      <c r="I67" s="24"/>
      <c r="J67" s="21"/>
      <c r="K67" s="24">
        <f>350-22.789754</f>
        <v>327.210246</v>
      </c>
      <c r="L67" s="24"/>
      <c r="M67" s="21"/>
      <c r="N67" s="21"/>
      <c r="O67" s="21" t="s">
        <v>22</v>
      </c>
    </row>
    <row r="68" s="2" customFormat="1" ht="50" customHeight="1" spans="1:15">
      <c r="A68" s="21">
        <v>63</v>
      </c>
      <c r="B68" s="21" t="s">
        <v>18</v>
      </c>
      <c r="C68" s="33" t="s">
        <v>147</v>
      </c>
      <c r="D68" s="30" t="s">
        <v>129</v>
      </c>
      <c r="E68" s="33" t="s">
        <v>148</v>
      </c>
      <c r="F68" s="24">
        <f t="shared" si="4"/>
        <v>364.442401</v>
      </c>
      <c r="G68" s="24">
        <f t="shared" si="5"/>
        <v>364.442401</v>
      </c>
      <c r="H68" s="24"/>
      <c r="I68" s="49"/>
      <c r="J68" s="49"/>
      <c r="K68" s="49"/>
      <c r="L68" s="44">
        <f>387-18.92-3.637599</f>
        <v>364.442401</v>
      </c>
      <c r="M68" s="21"/>
      <c r="N68" s="21"/>
      <c r="O68" s="21" t="s">
        <v>22</v>
      </c>
    </row>
    <row r="69" s="2" customFormat="1" ht="67" customHeight="1" spans="1:15">
      <c r="A69" s="21">
        <v>64</v>
      </c>
      <c r="B69" s="21" t="s">
        <v>18</v>
      </c>
      <c r="C69" s="33" t="s">
        <v>149</v>
      </c>
      <c r="D69" s="30" t="s">
        <v>129</v>
      </c>
      <c r="E69" s="33" t="s">
        <v>150</v>
      </c>
      <c r="F69" s="24">
        <f t="shared" si="4"/>
        <v>362.213161</v>
      </c>
      <c r="G69" s="24">
        <f t="shared" si="5"/>
        <v>362.213161</v>
      </c>
      <c r="H69" s="24"/>
      <c r="I69" s="24"/>
      <c r="J69" s="24"/>
      <c r="K69" s="21"/>
      <c r="L69" s="24">
        <f>387-23.296414-1.490425</f>
        <v>362.213161</v>
      </c>
      <c r="M69" s="21"/>
      <c r="N69" s="21"/>
      <c r="O69" s="21" t="s">
        <v>22</v>
      </c>
    </row>
    <row r="70" s="1" customFormat="1" ht="107" customHeight="1" spans="1:15">
      <c r="A70" s="21">
        <v>65</v>
      </c>
      <c r="B70" s="21" t="s">
        <v>18</v>
      </c>
      <c r="C70" s="33" t="s">
        <v>151</v>
      </c>
      <c r="D70" s="30" t="s">
        <v>129</v>
      </c>
      <c r="E70" s="33" t="s">
        <v>152</v>
      </c>
      <c r="F70" s="24">
        <f t="shared" si="4"/>
        <v>296.434106</v>
      </c>
      <c r="G70" s="24">
        <f t="shared" si="5"/>
        <v>296.434106</v>
      </c>
      <c r="H70" s="24"/>
      <c r="I70" s="48"/>
      <c r="J70" s="48"/>
      <c r="K70" s="48"/>
      <c r="L70" s="48">
        <f>315-18.565894</f>
        <v>296.434106</v>
      </c>
      <c r="M70" s="26"/>
      <c r="N70" s="26"/>
      <c r="O70" s="21" t="s">
        <v>22</v>
      </c>
    </row>
    <row r="71" s="1" customFormat="1" ht="67" customHeight="1" spans="1:15">
      <c r="A71" s="21">
        <v>66</v>
      </c>
      <c r="B71" s="21" t="s">
        <v>18</v>
      </c>
      <c r="C71" s="33" t="s">
        <v>153</v>
      </c>
      <c r="D71" s="30" t="s">
        <v>129</v>
      </c>
      <c r="E71" s="33" t="s">
        <v>154</v>
      </c>
      <c r="F71" s="24">
        <f t="shared" si="4"/>
        <v>373.000407</v>
      </c>
      <c r="G71" s="24">
        <f t="shared" si="5"/>
        <v>373.000407</v>
      </c>
      <c r="H71" s="24">
        <v>4.000407</v>
      </c>
      <c r="I71" s="48">
        <v>4.000407</v>
      </c>
      <c r="J71" s="53"/>
      <c r="K71" s="53"/>
      <c r="L71" s="53">
        <f>384-15</f>
        <v>369</v>
      </c>
      <c r="M71" s="26"/>
      <c r="N71" s="26"/>
      <c r="O71" s="21" t="s">
        <v>22</v>
      </c>
    </row>
    <row r="72" s="1" customFormat="1" ht="67" customHeight="1" spans="1:15">
      <c r="A72" s="21">
        <v>67</v>
      </c>
      <c r="B72" s="21" t="s">
        <v>18</v>
      </c>
      <c r="C72" s="33" t="s">
        <v>155</v>
      </c>
      <c r="D72" s="30" t="s">
        <v>129</v>
      </c>
      <c r="E72" s="33" t="s">
        <v>156</v>
      </c>
      <c r="F72" s="24">
        <f t="shared" si="4"/>
        <v>374.06</v>
      </c>
      <c r="G72" s="24">
        <f t="shared" si="5"/>
        <v>374.06</v>
      </c>
      <c r="H72" s="24"/>
      <c r="I72" s="48"/>
      <c r="J72" s="53"/>
      <c r="K72" s="53"/>
      <c r="L72" s="53">
        <f>384-9.94</f>
        <v>374.06</v>
      </c>
      <c r="M72" s="26"/>
      <c r="N72" s="26"/>
      <c r="O72" s="21" t="s">
        <v>22</v>
      </c>
    </row>
    <row r="73" s="1" customFormat="1" ht="67" customHeight="1" spans="1:15">
      <c r="A73" s="21">
        <v>68</v>
      </c>
      <c r="B73" s="21" t="s">
        <v>18</v>
      </c>
      <c r="C73" s="33" t="s">
        <v>157</v>
      </c>
      <c r="D73" s="30" t="s">
        <v>129</v>
      </c>
      <c r="E73" s="33" t="s">
        <v>158</v>
      </c>
      <c r="F73" s="24">
        <f t="shared" si="4"/>
        <v>363.345906</v>
      </c>
      <c r="G73" s="24">
        <f t="shared" si="5"/>
        <v>363.345906</v>
      </c>
      <c r="H73" s="24"/>
      <c r="I73" s="53"/>
      <c r="J73" s="53"/>
      <c r="K73" s="53"/>
      <c r="L73" s="48">
        <f>387-19.075246-4.578848</f>
        <v>363.345906</v>
      </c>
      <c r="M73" s="26"/>
      <c r="N73" s="26"/>
      <c r="O73" s="21" t="s">
        <v>22</v>
      </c>
    </row>
    <row r="74" s="1" customFormat="1" ht="67" customHeight="1" spans="1:15">
      <c r="A74" s="21">
        <v>69</v>
      </c>
      <c r="B74" s="21" t="s">
        <v>18</v>
      </c>
      <c r="C74" s="33" t="s">
        <v>159</v>
      </c>
      <c r="D74" s="30" t="s">
        <v>129</v>
      </c>
      <c r="E74" s="33" t="s">
        <v>160</v>
      </c>
      <c r="F74" s="24">
        <f t="shared" si="4"/>
        <v>320.771026</v>
      </c>
      <c r="G74" s="24">
        <f t="shared" si="5"/>
        <v>320.771026</v>
      </c>
      <c r="H74" s="24"/>
      <c r="I74" s="53"/>
      <c r="J74" s="53"/>
      <c r="K74" s="53"/>
      <c r="L74" s="48">
        <f>342-21.228974</f>
        <v>320.771026</v>
      </c>
      <c r="M74" s="26"/>
      <c r="N74" s="26"/>
      <c r="O74" s="21" t="s">
        <v>22</v>
      </c>
    </row>
    <row r="75" s="1" customFormat="1" ht="67" customHeight="1" spans="1:15">
      <c r="A75" s="21">
        <v>70</v>
      </c>
      <c r="B75" s="21" t="s">
        <v>18</v>
      </c>
      <c r="C75" s="33" t="s">
        <v>161</v>
      </c>
      <c r="D75" s="30" t="s">
        <v>129</v>
      </c>
      <c r="E75" s="33" t="s">
        <v>162</v>
      </c>
      <c r="F75" s="24">
        <f t="shared" si="4"/>
        <v>252</v>
      </c>
      <c r="G75" s="24">
        <f t="shared" si="5"/>
        <v>252</v>
      </c>
      <c r="H75" s="24"/>
      <c r="I75" s="53"/>
      <c r="J75" s="53"/>
      <c r="K75" s="53"/>
      <c r="L75" s="53">
        <v>252</v>
      </c>
      <c r="M75" s="26"/>
      <c r="N75" s="26"/>
      <c r="O75" s="21" t="s">
        <v>22</v>
      </c>
    </row>
    <row r="76" s="1" customFormat="1" ht="67" customHeight="1" spans="1:15">
      <c r="A76" s="21">
        <v>71</v>
      </c>
      <c r="B76" s="21" t="s">
        <v>18</v>
      </c>
      <c r="C76" s="25" t="s">
        <v>163</v>
      </c>
      <c r="D76" s="30" t="s">
        <v>129</v>
      </c>
      <c r="E76" s="25" t="s">
        <v>164</v>
      </c>
      <c r="F76" s="24">
        <f t="shared" si="4"/>
        <v>627.207017</v>
      </c>
      <c r="G76" s="24">
        <f t="shared" si="5"/>
        <v>627.207017</v>
      </c>
      <c r="H76" s="24"/>
      <c r="I76" s="45"/>
      <c r="J76" s="45"/>
      <c r="K76" s="45"/>
      <c r="L76" s="45">
        <f>600+27.207017</f>
        <v>627.207017</v>
      </c>
      <c r="M76" s="26"/>
      <c r="N76" s="26"/>
      <c r="O76" s="21" t="s">
        <v>22</v>
      </c>
    </row>
    <row r="77" s="1" customFormat="1" ht="67" customHeight="1" spans="1:15">
      <c r="A77" s="21">
        <v>72</v>
      </c>
      <c r="B77" s="21" t="s">
        <v>18</v>
      </c>
      <c r="C77" s="25" t="s">
        <v>165</v>
      </c>
      <c r="D77" s="30" t="s">
        <v>129</v>
      </c>
      <c r="E77" s="25" t="s">
        <v>166</v>
      </c>
      <c r="F77" s="24">
        <f t="shared" si="4"/>
        <v>718.816462</v>
      </c>
      <c r="G77" s="24">
        <f t="shared" si="5"/>
        <v>718.816462</v>
      </c>
      <c r="H77" s="24"/>
      <c r="I77" s="26"/>
      <c r="J77" s="26"/>
      <c r="K77" s="26"/>
      <c r="L77" s="45">
        <f>750-31.183538</f>
        <v>718.816462</v>
      </c>
      <c r="M77" s="26"/>
      <c r="N77" s="26"/>
      <c r="O77" s="21" t="s">
        <v>22</v>
      </c>
    </row>
    <row r="78" s="1" customFormat="1" ht="67" customHeight="1" spans="1:15">
      <c r="A78" s="21">
        <v>73</v>
      </c>
      <c r="B78" s="21" t="s">
        <v>18</v>
      </c>
      <c r="C78" s="25" t="s">
        <v>167</v>
      </c>
      <c r="D78" s="30" t="s">
        <v>129</v>
      </c>
      <c r="E78" s="25" t="s">
        <v>168</v>
      </c>
      <c r="F78" s="24">
        <f t="shared" si="4"/>
        <v>700</v>
      </c>
      <c r="G78" s="24">
        <f t="shared" si="5"/>
        <v>700</v>
      </c>
      <c r="H78" s="24"/>
      <c r="I78" s="45"/>
      <c r="J78" s="45"/>
      <c r="K78" s="45"/>
      <c r="L78" s="45">
        <f>750-50</f>
        <v>700</v>
      </c>
      <c r="M78" s="26"/>
      <c r="N78" s="26"/>
      <c r="O78" s="21" t="s">
        <v>22</v>
      </c>
    </row>
    <row r="79" s="1" customFormat="1" ht="67" customHeight="1" spans="1:15">
      <c r="A79" s="21">
        <v>74</v>
      </c>
      <c r="B79" s="21" t="s">
        <v>18</v>
      </c>
      <c r="C79" s="25" t="s">
        <v>169</v>
      </c>
      <c r="D79" s="30" t="s">
        <v>129</v>
      </c>
      <c r="E79" s="25" t="s">
        <v>170</v>
      </c>
      <c r="F79" s="24">
        <f t="shared" si="4"/>
        <v>750</v>
      </c>
      <c r="G79" s="24">
        <f t="shared" si="5"/>
        <v>750</v>
      </c>
      <c r="H79" s="24"/>
      <c r="I79" s="26"/>
      <c r="J79" s="26"/>
      <c r="K79" s="26"/>
      <c r="L79" s="26">
        <v>750</v>
      </c>
      <c r="M79" s="26"/>
      <c r="N79" s="26"/>
      <c r="O79" s="21" t="s">
        <v>22</v>
      </c>
    </row>
    <row r="80" s="1" customFormat="1" ht="67" customHeight="1" spans="1:15">
      <c r="A80" s="21">
        <v>75</v>
      </c>
      <c r="B80" s="21" t="s">
        <v>18</v>
      </c>
      <c r="C80" s="25" t="s">
        <v>171</v>
      </c>
      <c r="D80" s="30" t="s">
        <v>129</v>
      </c>
      <c r="E80" s="25" t="s">
        <v>172</v>
      </c>
      <c r="F80" s="24">
        <f t="shared" si="4"/>
        <v>582.644924</v>
      </c>
      <c r="G80" s="24">
        <f t="shared" si="5"/>
        <v>582.644924</v>
      </c>
      <c r="H80" s="24"/>
      <c r="I80" s="45"/>
      <c r="J80" s="26"/>
      <c r="K80" s="26"/>
      <c r="L80" s="45">
        <f>750-167.355076</f>
        <v>582.644924</v>
      </c>
      <c r="M80" s="26"/>
      <c r="N80" s="26"/>
      <c r="O80" s="21" t="s">
        <v>22</v>
      </c>
    </row>
    <row r="81" s="1" customFormat="1" ht="45" spans="1:15">
      <c r="A81" s="21">
        <v>76</v>
      </c>
      <c r="B81" s="21" t="s">
        <v>18</v>
      </c>
      <c r="C81" s="25" t="s">
        <v>173</v>
      </c>
      <c r="D81" s="30" t="s">
        <v>129</v>
      </c>
      <c r="E81" s="25" t="s">
        <v>174</v>
      </c>
      <c r="F81" s="24">
        <f t="shared" si="4"/>
        <v>374.721906</v>
      </c>
      <c r="G81" s="24">
        <f t="shared" si="5"/>
        <v>374.721906</v>
      </c>
      <c r="H81" s="24"/>
      <c r="I81" s="26"/>
      <c r="J81" s="26"/>
      <c r="K81" s="26"/>
      <c r="L81" s="45">
        <f>400-25.278094</f>
        <v>374.721906</v>
      </c>
      <c r="M81" s="26"/>
      <c r="N81" s="26"/>
      <c r="O81" s="21" t="s">
        <v>22</v>
      </c>
    </row>
    <row r="82" s="1" customFormat="1" ht="67" customHeight="1" spans="1:15">
      <c r="A82" s="21">
        <v>77</v>
      </c>
      <c r="B82" s="21" t="s">
        <v>18</v>
      </c>
      <c r="C82" s="25" t="s">
        <v>175</v>
      </c>
      <c r="D82" s="26" t="s">
        <v>176</v>
      </c>
      <c r="E82" s="25" t="s">
        <v>177</v>
      </c>
      <c r="F82" s="24">
        <f t="shared" si="4"/>
        <v>1649.049151</v>
      </c>
      <c r="G82" s="24">
        <f t="shared" si="5"/>
        <v>1649.049151</v>
      </c>
      <c r="H82" s="24">
        <f t="shared" si="6"/>
        <v>1649.049151</v>
      </c>
      <c r="I82" s="45">
        <f>1588.22699+60.822161</f>
        <v>1649.049151</v>
      </c>
      <c r="J82" s="26"/>
      <c r="K82" s="26"/>
      <c r="L82" s="26"/>
      <c r="M82" s="26"/>
      <c r="N82" s="26"/>
      <c r="O82" s="21" t="s">
        <v>22</v>
      </c>
    </row>
    <row r="83" s="1" customFormat="1" ht="67" customHeight="1" spans="1:15">
      <c r="A83" s="21">
        <v>78</v>
      </c>
      <c r="B83" s="21" t="s">
        <v>18</v>
      </c>
      <c r="C83" s="25" t="s">
        <v>178</v>
      </c>
      <c r="D83" s="26" t="s">
        <v>179</v>
      </c>
      <c r="E83" s="25" t="s">
        <v>180</v>
      </c>
      <c r="F83" s="24">
        <f t="shared" si="4"/>
        <v>260</v>
      </c>
      <c r="G83" s="24">
        <f t="shared" si="5"/>
        <v>0</v>
      </c>
      <c r="H83" s="24"/>
      <c r="I83" s="45"/>
      <c r="J83" s="26"/>
      <c r="K83" s="26"/>
      <c r="L83" s="26"/>
      <c r="M83" s="26"/>
      <c r="N83" s="26">
        <v>260</v>
      </c>
      <c r="O83" s="21" t="s">
        <v>22</v>
      </c>
    </row>
    <row r="84" s="1" customFormat="1" ht="67" customHeight="1" spans="1:15">
      <c r="A84" s="21">
        <v>79</v>
      </c>
      <c r="B84" s="21" t="s">
        <v>18</v>
      </c>
      <c r="C84" s="25" t="s">
        <v>181</v>
      </c>
      <c r="D84" s="26" t="s">
        <v>182</v>
      </c>
      <c r="E84" s="25" t="s">
        <v>183</v>
      </c>
      <c r="F84" s="24">
        <f t="shared" si="4"/>
        <v>45.9848</v>
      </c>
      <c r="G84" s="24">
        <f t="shared" si="5"/>
        <v>45.9848</v>
      </c>
      <c r="H84" s="24">
        <f t="shared" si="6"/>
        <v>45.9848</v>
      </c>
      <c r="I84" s="45"/>
      <c r="J84" s="45">
        <f>46-0.0152</f>
        <v>45.9848</v>
      </c>
      <c r="K84" s="26"/>
      <c r="L84" s="26"/>
      <c r="M84" s="26"/>
      <c r="N84" s="26"/>
      <c r="O84" s="21" t="s">
        <v>22</v>
      </c>
    </row>
    <row r="85" ht="67" customHeight="1" spans="1:15">
      <c r="A85" s="21">
        <v>80</v>
      </c>
      <c r="B85" s="21" t="s">
        <v>18</v>
      </c>
      <c r="C85" s="25" t="s">
        <v>184</v>
      </c>
      <c r="D85" s="50" t="s">
        <v>20</v>
      </c>
      <c r="E85" s="51" t="s">
        <v>185</v>
      </c>
      <c r="F85" s="24">
        <f t="shared" si="4"/>
        <v>198</v>
      </c>
      <c r="G85" s="24">
        <f t="shared" si="5"/>
        <v>198</v>
      </c>
      <c r="H85" s="24">
        <f t="shared" si="6"/>
        <v>198</v>
      </c>
      <c r="I85" s="26">
        <f>217-19</f>
        <v>198</v>
      </c>
      <c r="J85" s="26"/>
      <c r="K85" s="26"/>
      <c r="L85" s="26"/>
      <c r="M85" s="26"/>
      <c r="N85" s="26"/>
      <c r="O85" s="21" t="s">
        <v>22</v>
      </c>
    </row>
    <row r="86" ht="67" customHeight="1" spans="1:15">
      <c r="A86" s="21">
        <v>81</v>
      </c>
      <c r="B86" s="21" t="s">
        <v>18</v>
      </c>
      <c r="C86" s="26" t="s">
        <v>186</v>
      </c>
      <c r="D86" s="26" t="s">
        <v>20</v>
      </c>
      <c r="E86" s="25" t="s">
        <v>187</v>
      </c>
      <c r="F86" s="24">
        <f t="shared" si="4"/>
        <v>389</v>
      </c>
      <c r="G86" s="24">
        <f t="shared" si="5"/>
        <v>389</v>
      </c>
      <c r="H86" s="24">
        <f t="shared" si="6"/>
        <v>389</v>
      </c>
      <c r="I86" s="26">
        <v>389</v>
      </c>
      <c r="J86" s="26"/>
      <c r="K86" s="26"/>
      <c r="L86" s="26"/>
      <c r="M86" s="26"/>
      <c r="N86" s="26"/>
      <c r="O86" s="21" t="s">
        <v>22</v>
      </c>
    </row>
    <row r="87" ht="67" customHeight="1" spans="1:15">
      <c r="A87" s="21">
        <v>82</v>
      </c>
      <c r="B87" s="21" t="s">
        <v>18</v>
      </c>
      <c r="C87" s="26" t="s">
        <v>188</v>
      </c>
      <c r="D87" s="50" t="s">
        <v>20</v>
      </c>
      <c r="E87" s="51" t="s">
        <v>189</v>
      </c>
      <c r="F87" s="24">
        <f t="shared" si="4"/>
        <v>310</v>
      </c>
      <c r="G87" s="24">
        <f t="shared" si="5"/>
        <v>310</v>
      </c>
      <c r="H87" s="24">
        <f t="shared" si="6"/>
        <v>310</v>
      </c>
      <c r="I87" s="26">
        <f>350-40</f>
        <v>310</v>
      </c>
      <c r="J87" s="26"/>
      <c r="K87" s="26"/>
      <c r="L87" s="26"/>
      <c r="M87" s="26"/>
      <c r="N87" s="26"/>
      <c r="O87" s="21" t="s">
        <v>22</v>
      </c>
    </row>
    <row r="88" ht="67" customHeight="1" spans="1:15">
      <c r="A88" s="21">
        <v>83</v>
      </c>
      <c r="B88" s="21" t="s">
        <v>18</v>
      </c>
      <c r="C88" s="26" t="s">
        <v>190</v>
      </c>
      <c r="D88" s="50" t="s">
        <v>20</v>
      </c>
      <c r="E88" s="51" t="s">
        <v>191</v>
      </c>
      <c r="F88" s="24">
        <f t="shared" si="4"/>
        <v>310</v>
      </c>
      <c r="G88" s="24">
        <f t="shared" si="5"/>
        <v>310</v>
      </c>
      <c r="H88" s="24">
        <f t="shared" si="6"/>
        <v>310</v>
      </c>
      <c r="I88" s="26">
        <f>350-40</f>
        <v>310</v>
      </c>
      <c r="J88" s="26"/>
      <c r="K88" s="26"/>
      <c r="L88" s="26"/>
      <c r="M88" s="26"/>
      <c r="N88" s="26"/>
      <c r="O88" s="21" t="s">
        <v>22</v>
      </c>
    </row>
    <row r="89" ht="67" customHeight="1" spans="1:15">
      <c r="A89" s="21">
        <v>84</v>
      </c>
      <c r="B89" s="21" t="s">
        <v>18</v>
      </c>
      <c r="C89" s="26" t="s">
        <v>192</v>
      </c>
      <c r="D89" s="50" t="s">
        <v>20</v>
      </c>
      <c r="E89" s="51" t="s">
        <v>193</v>
      </c>
      <c r="F89" s="24">
        <f t="shared" si="4"/>
        <v>350</v>
      </c>
      <c r="G89" s="24">
        <f t="shared" si="5"/>
        <v>350</v>
      </c>
      <c r="H89" s="24">
        <f t="shared" si="6"/>
        <v>350</v>
      </c>
      <c r="I89" s="26">
        <v>350</v>
      </c>
      <c r="J89" s="26"/>
      <c r="K89" s="26"/>
      <c r="L89" s="26"/>
      <c r="M89" s="26"/>
      <c r="N89" s="26"/>
      <c r="O89" s="21" t="s">
        <v>22</v>
      </c>
    </row>
    <row r="90" ht="67" customHeight="1" spans="1:15">
      <c r="A90" s="21">
        <v>85</v>
      </c>
      <c r="B90" s="21" t="s">
        <v>18</v>
      </c>
      <c r="C90" s="26" t="s">
        <v>194</v>
      </c>
      <c r="D90" s="50" t="s">
        <v>20</v>
      </c>
      <c r="E90" s="51" t="s">
        <v>195</v>
      </c>
      <c r="F90" s="24">
        <f t="shared" si="4"/>
        <v>350</v>
      </c>
      <c r="G90" s="24">
        <f t="shared" si="5"/>
        <v>350</v>
      </c>
      <c r="H90" s="24">
        <f t="shared" si="6"/>
        <v>350</v>
      </c>
      <c r="I90" s="26">
        <v>350</v>
      </c>
      <c r="J90" s="26"/>
      <c r="K90" s="26"/>
      <c r="L90" s="26"/>
      <c r="M90" s="26"/>
      <c r="N90" s="26"/>
      <c r="O90" s="21" t="s">
        <v>22</v>
      </c>
    </row>
    <row r="91" ht="67" customHeight="1" spans="1:15">
      <c r="A91" s="21">
        <v>86</v>
      </c>
      <c r="B91" s="21" t="s">
        <v>18</v>
      </c>
      <c r="C91" s="50" t="s">
        <v>196</v>
      </c>
      <c r="D91" s="50" t="s">
        <v>20</v>
      </c>
      <c r="E91" s="51" t="s">
        <v>197</v>
      </c>
      <c r="F91" s="24">
        <f t="shared" ref="F91:F112" si="7">G91+M91+N91</f>
        <v>367.949304</v>
      </c>
      <c r="G91" s="24">
        <f t="shared" ref="G91:G112" si="8">H91+L91</f>
        <v>367.949304</v>
      </c>
      <c r="H91" s="24">
        <f t="shared" ref="H91:H112" si="9">I91+J91+K91</f>
        <v>367.949304</v>
      </c>
      <c r="I91" s="45">
        <f>380-12.050696</f>
        <v>367.949304</v>
      </c>
      <c r="J91" s="26"/>
      <c r="K91" s="26"/>
      <c r="L91" s="26"/>
      <c r="M91" s="26"/>
      <c r="N91" s="26"/>
      <c r="O91" s="21" t="s">
        <v>22</v>
      </c>
    </row>
    <row r="92" ht="67" customHeight="1" spans="1:15">
      <c r="A92" s="21">
        <v>87</v>
      </c>
      <c r="B92" s="21" t="s">
        <v>18</v>
      </c>
      <c r="C92" s="52" t="s">
        <v>198</v>
      </c>
      <c r="D92" s="50" t="s">
        <v>20</v>
      </c>
      <c r="E92" s="51" t="s">
        <v>199</v>
      </c>
      <c r="F92" s="24">
        <f t="shared" si="7"/>
        <v>374.947461</v>
      </c>
      <c r="G92" s="24">
        <f t="shared" si="8"/>
        <v>374.947461</v>
      </c>
      <c r="H92" s="24">
        <f t="shared" si="9"/>
        <v>374.947461</v>
      </c>
      <c r="I92" s="45">
        <f>376-1.052539</f>
        <v>374.947461</v>
      </c>
      <c r="J92" s="26"/>
      <c r="K92" s="26"/>
      <c r="L92" s="26"/>
      <c r="M92" s="26"/>
      <c r="N92" s="26"/>
      <c r="O92" s="21" t="s">
        <v>22</v>
      </c>
    </row>
    <row r="93" ht="67" customHeight="1" spans="1:15">
      <c r="A93" s="21">
        <v>88</v>
      </c>
      <c r="B93" s="21" t="s">
        <v>18</v>
      </c>
      <c r="C93" s="50" t="s">
        <v>200</v>
      </c>
      <c r="D93" s="50" t="s">
        <v>20</v>
      </c>
      <c r="E93" s="51" t="s">
        <v>201</v>
      </c>
      <c r="F93" s="24">
        <f t="shared" si="7"/>
        <v>382</v>
      </c>
      <c r="G93" s="24">
        <f t="shared" si="8"/>
        <v>382</v>
      </c>
      <c r="H93" s="24">
        <f t="shared" si="9"/>
        <v>382</v>
      </c>
      <c r="I93" s="26">
        <f>389-7</f>
        <v>382</v>
      </c>
      <c r="J93" s="26"/>
      <c r="K93" s="26"/>
      <c r="L93" s="26"/>
      <c r="M93" s="26"/>
      <c r="N93" s="26"/>
      <c r="O93" s="21" t="s">
        <v>22</v>
      </c>
    </row>
    <row r="94" s="5" customFormat="1" ht="67" customHeight="1" spans="1:15">
      <c r="A94" s="21">
        <v>89</v>
      </c>
      <c r="B94" s="21" t="s">
        <v>18</v>
      </c>
      <c r="C94" s="26" t="s">
        <v>202</v>
      </c>
      <c r="D94" s="26" t="s">
        <v>20</v>
      </c>
      <c r="E94" s="25" t="s">
        <v>203</v>
      </c>
      <c r="F94" s="24">
        <f t="shared" si="7"/>
        <v>305</v>
      </c>
      <c r="G94" s="24">
        <f t="shared" si="8"/>
        <v>305</v>
      </c>
      <c r="H94" s="24">
        <f t="shared" si="9"/>
        <v>305</v>
      </c>
      <c r="I94" s="26"/>
      <c r="J94" s="26"/>
      <c r="K94" s="26">
        <v>305</v>
      </c>
      <c r="L94" s="26"/>
      <c r="M94" s="26"/>
      <c r="N94" s="26"/>
      <c r="O94" s="21" t="s">
        <v>22</v>
      </c>
    </row>
    <row r="95" ht="67" customHeight="1" spans="1:15">
      <c r="A95" s="21">
        <v>90</v>
      </c>
      <c r="B95" s="21" t="s">
        <v>18</v>
      </c>
      <c r="C95" s="26" t="s">
        <v>204</v>
      </c>
      <c r="D95" s="50" t="s">
        <v>20</v>
      </c>
      <c r="E95" s="51" t="s">
        <v>205</v>
      </c>
      <c r="F95" s="24">
        <f t="shared" si="7"/>
        <v>188.811457</v>
      </c>
      <c r="G95" s="24">
        <f t="shared" si="8"/>
        <v>188.811457</v>
      </c>
      <c r="H95" s="24">
        <f t="shared" si="9"/>
        <v>188.811457</v>
      </c>
      <c r="I95" s="26"/>
      <c r="J95" s="45">
        <f>229-40.188543</f>
        <v>188.811457</v>
      </c>
      <c r="K95" s="26"/>
      <c r="L95" s="26"/>
      <c r="M95" s="26"/>
      <c r="N95" s="26"/>
      <c r="O95" s="21" t="s">
        <v>22</v>
      </c>
    </row>
    <row r="96" ht="67" customHeight="1" spans="1:15">
      <c r="A96" s="21">
        <v>91</v>
      </c>
      <c r="B96" s="21" t="s">
        <v>18</v>
      </c>
      <c r="C96" s="25" t="s">
        <v>206</v>
      </c>
      <c r="D96" s="50" t="s">
        <v>129</v>
      </c>
      <c r="E96" s="51" t="s">
        <v>207</v>
      </c>
      <c r="F96" s="24">
        <f t="shared" si="7"/>
        <v>363.527186</v>
      </c>
      <c r="G96" s="24">
        <f t="shared" si="8"/>
        <v>363.527186</v>
      </c>
      <c r="H96" s="24"/>
      <c r="I96" s="26"/>
      <c r="J96" s="26"/>
      <c r="K96" s="26"/>
      <c r="L96" s="45">
        <f>385-21.472814</f>
        <v>363.527186</v>
      </c>
      <c r="M96" s="26"/>
      <c r="N96" s="26"/>
      <c r="O96" s="21" t="s">
        <v>22</v>
      </c>
    </row>
    <row r="97" ht="67" customHeight="1" spans="1:15">
      <c r="A97" s="21">
        <v>92</v>
      </c>
      <c r="B97" s="21" t="s">
        <v>18</v>
      </c>
      <c r="C97" s="25" t="s">
        <v>208</v>
      </c>
      <c r="D97" s="50" t="s">
        <v>129</v>
      </c>
      <c r="E97" s="51" t="s">
        <v>209</v>
      </c>
      <c r="F97" s="24">
        <f t="shared" si="7"/>
        <v>285.846653</v>
      </c>
      <c r="G97" s="24">
        <f t="shared" si="8"/>
        <v>285.846653</v>
      </c>
      <c r="H97" s="24"/>
      <c r="I97" s="26"/>
      <c r="J97" s="26"/>
      <c r="K97" s="26"/>
      <c r="L97" s="45">
        <f>339-53.153347</f>
        <v>285.846653</v>
      </c>
      <c r="M97" s="26"/>
      <c r="N97" s="26"/>
      <c r="O97" s="21" t="s">
        <v>22</v>
      </c>
    </row>
    <row r="98" ht="67" customHeight="1" spans="1:15">
      <c r="A98" s="21">
        <v>93</v>
      </c>
      <c r="B98" s="21" t="s">
        <v>18</v>
      </c>
      <c r="C98" s="25" t="s">
        <v>210</v>
      </c>
      <c r="D98" s="50" t="s">
        <v>129</v>
      </c>
      <c r="E98" s="51" t="s">
        <v>211</v>
      </c>
      <c r="F98" s="24">
        <f t="shared" si="7"/>
        <v>282.754421</v>
      </c>
      <c r="G98" s="24">
        <f t="shared" si="8"/>
        <v>282.754421</v>
      </c>
      <c r="H98" s="24"/>
      <c r="I98" s="26"/>
      <c r="J98" s="26"/>
      <c r="K98" s="26"/>
      <c r="L98" s="45">
        <f>298-15.245579</f>
        <v>282.754421</v>
      </c>
      <c r="M98" s="26"/>
      <c r="N98" s="26"/>
      <c r="O98" s="21" t="s">
        <v>22</v>
      </c>
    </row>
    <row r="99" ht="67" customHeight="1" spans="1:15">
      <c r="A99" s="21">
        <v>94</v>
      </c>
      <c r="B99" s="21" t="s">
        <v>18</v>
      </c>
      <c r="C99" s="25" t="s">
        <v>212</v>
      </c>
      <c r="D99" s="50" t="s">
        <v>129</v>
      </c>
      <c r="E99" s="51" t="s">
        <v>213</v>
      </c>
      <c r="F99" s="24">
        <f t="shared" si="7"/>
        <v>107.905426</v>
      </c>
      <c r="G99" s="24">
        <f t="shared" si="8"/>
        <v>107.905426</v>
      </c>
      <c r="H99" s="24"/>
      <c r="I99" s="26"/>
      <c r="J99" s="26"/>
      <c r="K99" s="26"/>
      <c r="L99" s="45">
        <f>120-12.094574</f>
        <v>107.905426</v>
      </c>
      <c r="M99" s="26"/>
      <c r="N99" s="26"/>
      <c r="O99" s="21" t="s">
        <v>22</v>
      </c>
    </row>
    <row r="100" ht="67" customHeight="1" spans="1:15">
      <c r="A100" s="21">
        <v>95</v>
      </c>
      <c r="B100" s="21" t="s">
        <v>18</v>
      </c>
      <c r="C100" s="26" t="s">
        <v>214</v>
      </c>
      <c r="D100" s="50" t="s">
        <v>129</v>
      </c>
      <c r="E100" s="51" t="s">
        <v>215</v>
      </c>
      <c r="F100" s="24">
        <f t="shared" si="7"/>
        <v>1440</v>
      </c>
      <c r="G100" s="24">
        <f t="shared" si="8"/>
        <v>1440</v>
      </c>
      <c r="H100" s="24"/>
      <c r="I100" s="26"/>
      <c r="J100" s="26"/>
      <c r="K100" s="26"/>
      <c r="L100" s="26">
        <v>1440</v>
      </c>
      <c r="M100" s="26"/>
      <c r="N100" s="26"/>
      <c r="O100" s="21" t="s">
        <v>22</v>
      </c>
    </row>
    <row r="101" ht="67" customHeight="1" spans="1:15">
      <c r="A101" s="21">
        <v>96</v>
      </c>
      <c r="B101" s="21" t="s">
        <v>18</v>
      </c>
      <c r="C101" s="26" t="s">
        <v>216</v>
      </c>
      <c r="D101" s="50" t="s">
        <v>129</v>
      </c>
      <c r="E101" s="51" t="s">
        <v>217</v>
      </c>
      <c r="F101" s="24">
        <f t="shared" si="7"/>
        <v>387</v>
      </c>
      <c r="G101" s="24">
        <f t="shared" si="8"/>
        <v>387</v>
      </c>
      <c r="H101" s="24"/>
      <c r="I101" s="26"/>
      <c r="J101" s="26"/>
      <c r="K101" s="26"/>
      <c r="L101" s="26">
        <v>387</v>
      </c>
      <c r="M101" s="26"/>
      <c r="N101" s="26"/>
      <c r="O101" s="21" t="s">
        <v>22</v>
      </c>
    </row>
    <row r="102" ht="67" customHeight="1" spans="1:15">
      <c r="A102" s="21">
        <v>97</v>
      </c>
      <c r="B102" s="21" t="s">
        <v>18</v>
      </c>
      <c r="C102" s="25" t="s">
        <v>218</v>
      </c>
      <c r="D102" s="50" t="s">
        <v>129</v>
      </c>
      <c r="E102" s="51" t="s">
        <v>219</v>
      </c>
      <c r="F102" s="24">
        <f t="shared" si="7"/>
        <v>334.284657</v>
      </c>
      <c r="G102" s="24">
        <f t="shared" si="8"/>
        <v>334.284657</v>
      </c>
      <c r="H102" s="24"/>
      <c r="I102" s="26"/>
      <c r="J102" s="26"/>
      <c r="K102" s="26"/>
      <c r="L102" s="45">
        <f>387-52.715343</f>
        <v>334.284657</v>
      </c>
      <c r="M102" s="26"/>
      <c r="N102" s="26"/>
      <c r="O102" s="21" t="s">
        <v>22</v>
      </c>
    </row>
    <row r="103" ht="67" customHeight="1" spans="1:15">
      <c r="A103" s="21">
        <v>98</v>
      </c>
      <c r="B103" s="21" t="s">
        <v>18</v>
      </c>
      <c r="C103" s="26" t="s">
        <v>220</v>
      </c>
      <c r="D103" s="50" t="s">
        <v>129</v>
      </c>
      <c r="E103" s="51" t="s">
        <v>221</v>
      </c>
      <c r="F103" s="24">
        <f t="shared" si="7"/>
        <v>349.269398</v>
      </c>
      <c r="G103" s="24">
        <f t="shared" si="8"/>
        <v>349.269398</v>
      </c>
      <c r="H103" s="24"/>
      <c r="I103" s="26"/>
      <c r="J103" s="26"/>
      <c r="K103" s="26"/>
      <c r="L103" s="45">
        <f>387-37.730602</f>
        <v>349.269398</v>
      </c>
      <c r="M103" s="26"/>
      <c r="N103" s="26"/>
      <c r="O103" s="21" t="s">
        <v>22</v>
      </c>
    </row>
    <row r="104" ht="67" customHeight="1" spans="1:15">
      <c r="A104" s="21">
        <v>99</v>
      </c>
      <c r="B104" s="21" t="s">
        <v>18</v>
      </c>
      <c r="C104" s="26" t="s">
        <v>222</v>
      </c>
      <c r="D104" s="50" t="s">
        <v>129</v>
      </c>
      <c r="E104" s="51" t="s">
        <v>223</v>
      </c>
      <c r="F104" s="24">
        <f t="shared" si="7"/>
        <v>384</v>
      </c>
      <c r="G104" s="24">
        <f t="shared" si="8"/>
        <v>384</v>
      </c>
      <c r="H104" s="24"/>
      <c r="I104" s="26"/>
      <c r="J104" s="26"/>
      <c r="K104" s="26"/>
      <c r="L104" s="26">
        <v>384</v>
      </c>
      <c r="M104" s="26"/>
      <c r="N104" s="26"/>
      <c r="O104" s="21" t="s">
        <v>22</v>
      </c>
    </row>
    <row r="105" ht="67" customHeight="1" spans="1:15">
      <c r="A105" s="21">
        <v>100</v>
      </c>
      <c r="B105" s="21" t="s">
        <v>18</v>
      </c>
      <c r="C105" s="26" t="s">
        <v>224</v>
      </c>
      <c r="D105" s="50" t="s">
        <v>129</v>
      </c>
      <c r="E105" s="51" t="s">
        <v>225</v>
      </c>
      <c r="F105" s="24">
        <f t="shared" si="7"/>
        <v>359</v>
      </c>
      <c r="G105" s="24">
        <f t="shared" si="8"/>
        <v>359</v>
      </c>
      <c r="H105" s="24"/>
      <c r="I105" s="26"/>
      <c r="J105" s="26"/>
      <c r="K105" s="26"/>
      <c r="L105" s="26">
        <f>384-25</f>
        <v>359</v>
      </c>
      <c r="M105" s="26"/>
      <c r="N105" s="26"/>
      <c r="O105" s="21" t="s">
        <v>22</v>
      </c>
    </row>
    <row r="106" ht="67" customHeight="1" spans="1:15">
      <c r="A106" s="21">
        <v>101</v>
      </c>
      <c r="B106" s="21" t="s">
        <v>18</v>
      </c>
      <c r="C106" s="50" t="s">
        <v>226</v>
      </c>
      <c r="D106" s="50" t="s">
        <v>129</v>
      </c>
      <c r="E106" s="51" t="s">
        <v>227</v>
      </c>
      <c r="F106" s="24">
        <f t="shared" si="7"/>
        <v>407.09</v>
      </c>
      <c r="G106" s="24">
        <f t="shared" si="8"/>
        <v>407.09</v>
      </c>
      <c r="H106" s="24"/>
      <c r="I106" s="26"/>
      <c r="J106" s="26"/>
      <c r="K106" s="26"/>
      <c r="L106" s="26">
        <f>450-42.91</f>
        <v>407.09</v>
      </c>
      <c r="M106" s="26"/>
      <c r="N106" s="26"/>
      <c r="O106" s="21" t="s">
        <v>22</v>
      </c>
    </row>
    <row r="107" ht="67" customHeight="1" spans="1:15">
      <c r="A107" s="21">
        <v>102</v>
      </c>
      <c r="B107" s="21" t="s">
        <v>18</v>
      </c>
      <c r="C107" s="25" t="s">
        <v>228</v>
      </c>
      <c r="D107" s="50" t="s">
        <v>129</v>
      </c>
      <c r="E107" s="51" t="s">
        <v>229</v>
      </c>
      <c r="F107" s="24">
        <f t="shared" si="7"/>
        <v>790</v>
      </c>
      <c r="G107" s="24">
        <f t="shared" si="8"/>
        <v>790</v>
      </c>
      <c r="H107" s="24">
        <f t="shared" si="9"/>
        <v>300</v>
      </c>
      <c r="I107" s="26">
        <v>300</v>
      </c>
      <c r="J107" s="26"/>
      <c r="K107" s="26"/>
      <c r="L107" s="26">
        <f>600-110</f>
        <v>490</v>
      </c>
      <c r="M107" s="26"/>
      <c r="N107" s="26"/>
      <c r="O107" s="21" t="s">
        <v>22</v>
      </c>
    </row>
    <row r="108" ht="67" customHeight="1" spans="1:15">
      <c r="A108" s="21">
        <v>103</v>
      </c>
      <c r="B108" s="21" t="s">
        <v>18</v>
      </c>
      <c r="C108" s="25" t="s">
        <v>230</v>
      </c>
      <c r="D108" s="50" t="s">
        <v>129</v>
      </c>
      <c r="E108" s="51" t="s">
        <v>231</v>
      </c>
      <c r="F108" s="24">
        <f t="shared" si="7"/>
        <v>363.25636</v>
      </c>
      <c r="G108" s="24">
        <f t="shared" si="8"/>
        <v>363.25636</v>
      </c>
      <c r="H108" s="24">
        <f t="shared" si="9"/>
        <v>363.25636</v>
      </c>
      <c r="I108" s="26">
        <f>384-20.74364</f>
        <v>363.25636</v>
      </c>
      <c r="J108" s="26"/>
      <c r="K108" s="26"/>
      <c r="L108" s="26"/>
      <c r="M108" s="26"/>
      <c r="N108" s="26"/>
      <c r="O108" s="21" t="s">
        <v>22</v>
      </c>
    </row>
    <row r="109" s="5" customFormat="1" ht="67" customHeight="1" spans="1:15">
      <c r="A109" s="21">
        <v>104</v>
      </c>
      <c r="B109" s="21" t="s">
        <v>18</v>
      </c>
      <c r="C109" s="25" t="s">
        <v>232</v>
      </c>
      <c r="D109" s="26" t="s">
        <v>129</v>
      </c>
      <c r="E109" s="25" t="s">
        <v>233</v>
      </c>
      <c r="F109" s="24">
        <f t="shared" si="7"/>
        <v>318</v>
      </c>
      <c r="G109" s="24">
        <f t="shared" si="8"/>
        <v>318</v>
      </c>
      <c r="H109" s="24">
        <f t="shared" si="9"/>
        <v>318</v>
      </c>
      <c r="I109" s="26"/>
      <c r="J109" s="26"/>
      <c r="K109" s="26">
        <v>318</v>
      </c>
      <c r="L109" s="26"/>
      <c r="M109" s="26"/>
      <c r="N109" s="26"/>
      <c r="O109" s="21" t="s">
        <v>22</v>
      </c>
    </row>
    <row r="110" ht="67" customHeight="1" spans="1:15">
      <c r="A110" s="21">
        <v>105</v>
      </c>
      <c r="B110" s="21" t="s">
        <v>18</v>
      </c>
      <c r="C110" s="25" t="s">
        <v>234</v>
      </c>
      <c r="D110" s="26" t="s">
        <v>235</v>
      </c>
      <c r="E110" s="25" t="s">
        <v>236</v>
      </c>
      <c r="F110" s="24">
        <f t="shared" si="7"/>
        <v>70</v>
      </c>
      <c r="G110" s="24">
        <f t="shared" si="8"/>
        <v>70</v>
      </c>
      <c r="H110" s="24">
        <f t="shared" si="9"/>
        <v>70</v>
      </c>
      <c r="I110" s="26">
        <v>70</v>
      </c>
      <c r="J110" s="26"/>
      <c r="K110" s="26"/>
      <c r="L110" s="26"/>
      <c r="M110" s="26"/>
      <c r="N110" s="26"/>
      <c r="O110" s="21" t="s">
        <v>22</v>
      </c>
    </row>
    <row r="111" ht="67" customHeight="1" spans="1:15">
      <c r="A111" s="21">
        <v>106</v>
      </c>
      <c r="B111" s="21" t="s">
        <v>18</v>
      </c>
      <c r="C111" s="25" t="s">
        <v>237</v>
      </c>
      <c r="D111" s="53" t="s">
        <v>20</v>
      </c>
      <c r="E111" s="25" t="s">
        <v>238</v>
      </c>
      <c r="F111" s="24">
        <f t="shared" si="7"/>
        <v>153.450757</v>
      </c>
      <c r="G111" s="24">
        <f t="shared" si="8"/>
        <v>153.450757</v>
      </c>
      <c r="H111" s="24">
        <f t="shared" si="9"/>
        <v>153.450757</v>
      </c>
      <c r="I111" s="26"/>
      <c r="J111" s="45">
        <f>170-16.549243</f>
        <v>153.450757</v>
      </c>
      <c r="K111" s="26"/>
      <c r="L111" s="26"/>
      <c r="M111" s="26"/>
      <c r="N111" s="26"/>
      <c r="O111" s="21" t="s">
        <v>22</v>
      </c>
    </row>
    <row r="112" ht="67" customHeight="1" spans="1:15">
      <c r="A112" s="21">
        <v>107</v>
      </c>
      <c r="B112" s="21" t="s">
        <v>18</v>
      </c>
      <c r="C112" s="25" t="s">
        <v>239</v>
      </c>
      <c r="D112" s="26" t="s">
        <v>129</v>
      </c>
      <c r="E112" s="25" t="s">
        <v>240</v>
      </c>
      <c r="F112" s="24">
        <f t="shared" si="7"/>
        <v>119.584275</v>
      </c>
      <c r="G112" s="24">
        <f t="shared" si="8"/>
        <v>119.584275</v>
      </c>
      <c r="H112" s="24">
        <f t="shared" si="9"/>
        <v>119.584275</v>
      </c>
      <c r="I112" s="26"/>
      <c r="J112" s="26"/>
      <c r="K112" s="45">
        <v>119.584275</v>
      </c>
      <c r="L112" s="26"/>
      <c r="M112" s="26"/>
      <c r="N112" s="26"/>
      <c r="O112" s="21" t="s">
        <v>22</v>
      </c>
    </row>
  </sheetData>
  <mergeCells count="15">
    <mergeCell ref="A1:O1"/>
    <mergeCell ref="G2:L2"/>
    <mergeCell ref="H3:K3"/>
    <mergeCell ref="A5:C5"/>
    <mergeCell ref="A2:A4"/>
    <mergeCell ref="B2:B4"/>
    <mergeCell ref="C2:C4"/>
    <mergeCell ref="D2:D4"/>
    <mergeCell ref="E2:E4"/>
    <mergeCell ref="F2:F4"/>
    <mergeCell ref="G3:G4"/>
    <mergeCell ref="L3:L4"/>
    <mergeCell ref="M2:M4"/>
    <mergeCell ref="N2:N4"/>
    <mergeCell ref="O2:O4"/>
  </mergeCells>
  <dataValidations count="1">
    <dataValidation allowBlank="1" showInputMessage="1" showErrorMessage="1" sqref="D1 D5 D2:D4 D7:D14 D16:D22 D44:D59 D82:D110 D112:D65070 G6:H112"/>
  </dataValidations>
  <printOptions horizontalCentered="1"/>
  <pageMargins left="0.275" right="0.236111111111111" top="0.354166666666667" bottom="0.196527777777778" header="0.236111111111111" footer="0.156944444444444"/>
  <pageSetup paperSize="9" scale="43" orientation="landscape" horizontalDpi="600"/>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xiyxj</dc:creator>
  <cp:lastModifiedBy>ZFB</cp:lastModifiedBy>
  <dcterms:created xsi:type="dcterms:W3CDTF">2018-06-18T07:57:00Z</dcterms:created>
  <cp:lastPrinted>2020-11-10T15:25:00Z</cp:lastPrinted>
  <dcterms:modified xsi:type="dcterms:W3CDTF">2025-12-15T10:49:09Z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eadingLayout">
    <vt:bool>true</vt:bool>
  </property>
  <property fmtid="{D5CDD505-2E9C-101B-9397-08002B2CF9AE}" pid="4" name="ICV">
    <vt:lpwstr>BA6AA148AB8C4663B30EA46926065A3D</vt:lpwstr>
  </property>
</Properties>
</file>